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Edits\Kawhi\"/>
    </mc:Choice>
  </mc:AlternateContent>
  <xr:revisionPtr revIDLastSave="0" documentId="8_{EB754DF0-F265-4D91-819D-3E402AB5A93A}" xr6:coauthVersionLast="47" xr6:coauthVersionMax="47" xr10:uidLastSave="{00000000-0000-0000-0000-000000000000}"/>
  <bookViews>
    <workbookView xWindow="19200" yWindow="0" windowWidth="19200" windowHeight="21000" xr2:uid="{28262E46-0A19-43C8-BDCF-57C06A2AB7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</calcChain>
</file>

<file path=xl/sharedStrings.xml><?xml version="1.0" encoding="utf-8"?>
<sst xmlns="http://schemas.openxmlformats.org/spreadsheetml/2006/main" count="14093" uniqueCount="94">
  <si>
    <t>NULL</t>
  </si>
  <si>
    <t>TOR</t>
  </si>
  <si>
    <t>2018 Playoffs</t>
  </si>
  <si>
    <t>Running Jump Shot</t>
  </si>
  <si>
    <t>2PTM</t>
  </si>
  <si>
    <t>Layup Shot</t>
  </si>
  <si>
    <t>Cutting Dunk Shot</t>
  </si>
  <si>
    <t>SAS</t>
  </si>
  <si>
    <t>2016 Playoffs</t>
  </si>
  <si>
    <t>Jump Shot</t>
  </si>
  <si>
    <t>3PTM</t>
  </si>
  <si>
    <t>2015 Playoffs</t>
  </si>
  <si>
    <t>POR</t>
  </si>
  <si>
    <t>2014 Playoffs</t>
  </si>
  <si>
    <t>Step Back Jump shot</t>
  </si>
  <si>
    <t>2013 Playoffs</t>
  </si>
  <si>
    <t>Running Dunk Shot</t>
  </si>
  <si>
    <t>Floating Jump shot</t>
  </si>
  <si>
    <t>Hook Shot</t>
  </si>
  <si>
    <t>Pullup Jump shot</t>
  </si>
  <si>
    <t>Cutting Layup Shot</t>
  </si>
  <si>
    <t>Fadeaway Jump Shot</t>
  </si>
  <si>
    <t>Jump Bank Shot</t>
  </si>
  <si>
    <t>Driving Layup Shot</t>
  </si>
  <si>
    <t>Cutting Finger Roll Layup Shot</t>
  </si>
  <si>
    <t>Running Finger Roll Layup Shot</t>
  </si>
  <si>
    <t>Reverse Layup Shot</t>
  </si>
  <si>
    <t>2012 Playoffs</t>
  </si>
  <si>
    <t>Driving Finger Roll Layup Shot</t>
  </si>
  <si>
    <t>Driving Floating Jump Shot</t>
  </si>
  <si>
    <t>Turnaround Fadeaway shot</t>
  </si>
  <si>
    <t>Driving Reverse Layup Shot</t>
  </si>
  <si>
    <t>Hook Bank Shot</t>
  </si>
  <si>
    <t>Driving Floating Bank Jump Shot</t>
  </si>
  <si>
    <t>Driving Hook Shot</t>
  </si>
  <si>
    <t>Turnaround Bank Hook Shot</t>
  </si>
  <si>
    <t>Running Layup Shot</t>
  </si>
  <si>
    <t>Driving Dunk Shot</t>
  </si>
  <si>
    <t>Dunk Shot</t>
  </si>
  <si>
    <t>Running Pull-Up Jump Shot</t>
  </si>
  <si>
    <t>Running Reverse Layup Shot</t>
  </si>
  <si>
    <t>Turnaround Jump Shot</t>
  </si>
  <si>
    <t>Running Bank Hook Shot</t>
  </si>
  <si>
    <t>Turnaround Fadeaway Bank Jump Shot</t>
  </si>
  <si>
    <t>Alley Oop Layup shot</t>
  </si>
  <si>
    <t>Alley Oop Dunk Shot</t>
  </si>
  <si>
    <t>Turnaround Hook Shot</t>
  </si>
  <si>
    <t>Driving Slam Dunk Shot</t>
  </si>
  <si>
    <t>Driving Bank shot</t>
  </si>
  <si>
    <t>Reverse Dunk Shot</t>
  </si>
  <si>
    <t>Finger Roll Layup Shot</t>
  </si>
  <si>
    <t>Pullup Bank shot</t>
  </si>
  <si>
    <t>Running Hook Shot</t>
  </si>
  <si>
    <t>Slam Dunk Shot</t>
  </si>
  <si>
    <t>Driving Jump shot</t>
  </si>
  <si>
    <t>Running Reverse Dunk Shot</t>
  </si>
  <si>
    <t>Jump Hook Shot</t>
  </si>
  <si>
    <t>Running Bank shot</t>
  </si>
  <si>
    <t>right</t>
  </si>
  <si>
    <t>LAC</t>
  </si>
  <si>
    <t>hook</t>
  </si>
  <si>
    <t>jumpshot</t>
  </si>
  <si>
    <t>2019 West Semis</t>
  </si>
  <si>
    <t>dunk</t>
  </si>
  <si>
    <t>Layup</t>
  </si>
  <si>
    <t>DUNK</t>
  </si>
  <si>
    <t>2020 1st Round</t>
  </si>
  <si>
    <t>2022 1st Round</t>
  </si>
  <si>
    <t>2019 1st Round</t>
  </si>
  <si>
    <t>layup</t>
  </si>
  <si>
    <t>Hook</t>
  </si>
  <si>
    <t>2020 West Semis</t>
  </si>
  <si>
    <t>2023 1st Round</t>
  </si>
  <si>
    <t>left</t>
  </si>
  <si>
    <t>side</t>
  </si>
  <si>
    <t>trueY</t>
  </si>
  <si>
    <t>trueX</t>
  </si>
  <si>
    <t>yLegacy</t>
  </si>
  <si>
    <t>xLegacy</t>
  </si>
  <si>
    <t>y</t>
  </si>
  <si>
    <t>x</t>
  </si>
  <si>
    <t>shotDistance</t>
  </si>
  <si>
    <t>Link</t>
  </si>
  <si>
    <t>Play</t>
  </si>
  <si>
    <t>Tri</t>
  </si>
  <si>
    <t>season</t>
  </si>
  <si>
    <t>clock</t>
  </si>
  <si>
    <t>Q</t>
  </si>
  <si>
    <t>Lead</t>
  </si>
  <si>
    <t>OpScore</t>
  </si>
  <si>
    <t>Score</t>
  </si>
  <si>
    <t>actionSub</t>
  </si>
  <si>
    <t>shotType</t>
  </si>
  <si>
    <t>game_id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</si>
</sst>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7" fontId="0" fillId="0" borderId="0" xfId="0" applyNumberFormat="1"/>
    <xf numFmtId="0" fontId="1" fillId="0" borderId="0" xfId="1"/>
    <xf numFmtId="0" fontId="0" fillId="2" borderId="0" xfId="0" applyFill="1"/>
    <xf numFmtId="47" fontId="0" fillId="2" borderId="0" xfId="0" applyNumberFormat="1" applyFill="1"/>
    <xf numFmtId="0" fontId="1" fillId="2" borderId="0" xfId="1" applyFill="1"/>
  </cellXfs>
  <cellStyles count="2">
    <cellStyle name="Hyperlink" xfId="1" builtinId="8"/>
    <cellStyle name="Normal" xfId="0" builtinId="0"/>
  </cellStyles>
  <dxfs count="1"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661A27-37AC-4B10-ACB5-227B159662FD}" name="Table2" displayName="Table2" ref="A1:T2648" totalsRowShown="0">
  <autoFilter ref="A1:T2648" xr:uid="{4A82444B-F0C6-4098-828E-C39F078E89C4}"/>
  <sortState xmlns:xlrd2="http://schemas.microsoft.com/office/spreadsheetml/2017/richdata2" ref="A2:T2648">
    <sortCondition ref="R1:R2648"/>
  </sortState>
  <tableColumns count="20">
    <tableColumn id="1" xr3:uid="{3A454F15-F8B8-4D7C-93DF-AE521BDF24BF}" name="game_id"/>
    <tableColumn id="2" xr3:uid="{B41C942E-9856-468E-80FB-2903DEB76951}" name="shotType"/>
    <tableColumn id="3" xr3:uid="{B11D8DB4-158B-4DD3-B692-0B79B3C10BEB}" name="actionSub"/>
    <tableColumn id="4" xr3:uid="{76DF9975-7207-412F-B510-73C37EDE1670}" name="Score"/>
    <tableColumn id="5" xr3:uid="{0215181D-8992-4D9D-86E8-EE16CBE190C9}" name="OpScore"/>
    <tableColumn id="6" xr3:uid="{DEA0E924-26D6-42EE-B44C-D7EAE8B8CF80}" name="Lead"/>
    <tableColumn id="7" xr3:uid="{B642477A-8BC1-4119-9570-67A820DD60BB}" name="Q"/>
    <tableColumn id="8" xr3:uid="{33503A7A-E627-4529-828E-A3F6EF587A60}" name="clock" dataDxfId="0"/>
    <tableColumn id="9" xr3:uid="{5CBD14FA-3DA1-4642-BD41-CA66FA41ADD2}" name="season"/>
    <tableColumn id="10" xr3:uid="{A5110722-5160-4758-BB50-E9F4FEB29FC7}" name="Tri"/>
    <tableColumn id="11" xr3:uid="{642B3B63-DE2A-4534-B131-781F8858C019}" name="Play" dataCellStyle="Hyperlink"/>
    <tableColumn id="12" xr3:uid="{18E70B3E-C711-4136-A766-6303AFAE8B19}" name="Link" dataCellStyle="Hyperlink"/>
    <tableColumn id="13" xr3:uid="{696366FC-D8DA-4710-85A1-CC1521574605}" name="shotDistance"/>
    <tableColumn id="14" xr3:uid="{F0CFB6CA-28D9-48B4-88EE-01FFEB1DE3A9}" name="x"/>
    <tableColumn id="15" xr3:uid="{97613C0D-1A85-40B3-AD35-6D87C8B3FFF3}" name="y"/>
    <tableColumn id="16" xr3:uid="{55CCE74C-FD55-445D-9A06-2EF0C0C40702}" name="xLegacy"/>
    <tableColumn id="17" xr3:uid="{44117CFF-1B5C-44ED-8F9B-F5A812D22B08}" name="yLegacy"/>
    <tableColumn id="18" xr3:uid="{969B016F-8BD1-45B4-BBDE-0CCFDE45F9E1}" name="trueX"/>
    <tableColumn id="19" xr3:uid="{99EB963F-A422-4347-BDC3-A7F4E23285EA}" name="trueY"/>
    <tableColumn id="20" xr3:uid="{03B52B2B-3FD7-46DB-86C3-589B752F1D79}" name="sid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A8D54-55D3-457E-B6A0-601759C58299}">
  <dimension ref="A1:T2648"/>
  <sheetViews>
    <sheetView tabSelected="1" topLeftCell="I1" workbookViewId="0">
      <selection activeCell="L40" sqref="L40"/>
    </sheetView>
  </sheetViews>
  <sheetFormatPr defaultRowHeight="15" x14ac:dyDescent="0.25"/>
  <cols>
    <col min="11" max="11" width="69.42578125" bestFit="1" customWidth="1"/>
    <col min="12" max="12" width="23.5703125" bestFit="1" customWidth="1"/>
  </cols>
  <sheetData>
    <row r="1" spans="1:20" x14ac:dyDescent="0.25">
      <c r="A1" t="s">
        <v>93</v>
      </c>
      <c r="B1" t="s">
        <v>92</v>
      </c>
      <c r="C1" t="s">
        <v>91</v>
      </c>
      <c r="D1" t="s">
        <v>90</v>
      </c>
      <c r="E1" t="s">
        <v>89</v>
      </c>
      <c r="F1" t="s">
        <v>88</v>
      </c>
      <c r="G1" t="s">
        <v>87</v>
      </c>
      <c r="H1" t="s">
        <v>86</v>
      </c>
      <c r="I1" t="s">
        <v>85</v>
      </c>
      <c r="J1" t="s">
        <v>84</v>
      </c>
      <c r="K1" t="s">
        <v>83</v>
      </c>
      <c r="L1" t="s">
        <v>82</v>
      </c>
      <c r="M1" t="s">
        <v>81</v>
      </c>
      <c r="N1" t="s">
        <v>80</v>
      </c>
      <c r="O1" t="s">
        <v>79</v>
      </c>
      <c r="P1" t="s">
        <v>78</v>
      </c>
      <c r="Q1" t="s">
        <v>77</v>
      </c>
      <c r="R1" t="s">
        <v>76</v>
      </c>
      <c r="S1" t="s">
        <v>75</v>
      </c>
      <c r="T1" t="s">
        <v>74</v>
      </c>
    </row>
    <row r="2" spans="1:20" x14ac:dyDescent="0.25">
      <c r="A2">
        <v>22300085</v>
      </c>
      <c r="B2" t="s">
        <v>10</v>
      </c>
      <c r="C2" t="s">
        <v>9</v>
      </c>
      <c r="D2">
        <v>104</v>
      </c>
      <c r="E2">
        <v>101</v>
      </c>
      <c r="F2">
        <v>3</v>
      </c>
      <c r="G2">
        <v>4</v>
      </c>
      <c r="H2" s="1">
        <v>4.0393518518518521E-3</v>
      </c>
      <c r="I2">
        <v>2023</v>
      </c>
      <c r="J2" t="s">
        <v>59</v>
      </c>
      <c r="K2" s="2" t="str">
        <f>HYPERLINK("https://www.nba.com/stats/events?CFID=&amp;CFPARAMS=&amp;GameEventID=579&amp;GameID=0022300085&amp;Season=2023-24&amp;flag=1&amp;title=N.%20Batum%203PT%20%20(8%20PTS)%20(K.%20Leonard%204%20AST)", "N. Batum 3PT  (8 PTS) (K. Leonard 4 AST)")</f>
        <v>N. Batum 3PT  (8 PTS) (K. Leonard 4 AST)</v>
      </c>
      <c r="L2" s="2" t="str">
        <f>HYPERLINK("https://www.nba.com/game/...-vs-...-0022300085/play-by-play?watchFullGame=true", "LAC vs UTA - Q4 05:49.00")</f>
        <v>LAC vs UTA - Q4 05:49.00</v>
      </c>
      <c r="M2">
        <v>23.79</v>
      </c>
      <c r="N2">
        <v>2.84</v>
      </c>
      <c r="O2">
        <v>2.7</v>
      </c>
      <c r="P2">
        <v>237</v>
      </c>
      <c r="Q2">
        <v>-26</v>
      </c>
      <c r="R2">
        <v>2</v>
      </c>
      <c r="S2">
        <v>2</v>
      </c>
      <c r="T2" t="s">
        <v>73</v>
      </c>
    </row>
    <row r="3" spans="1:20" x14ac:dyDescent="0.25">
      <c r="A3">
        <v>22000130</v>
      </c>
      <c r="B3" t="s">
        <v>10</v>
      </c>
      <c r="C3" t="s">
        <v>9</v>
      </c>
      <c r="D3">
        <v>46</v>
      </c>
      <c r="E3">
        <v>34</v>
      </c>
      <c r="F3">
        <v>12</v>
      </c>
      <c r="G3">
        <v>2</v>
      </c>
      <c r="H3" s="1">
        <v>4.6874999999999998E-3</v>
      </c>
      <c r="I3">
        <v>2020</v>
      </c>
      <c r="J3" t="s">
        <v>59</v>
      </c>
      <c r="K3" s="2" t="str">
        <f>HYPERLINK("https://www.nba.com/stats/events?CFID=&amp;CFPARAMS=&amp;GameEventID=217&amp;GameID=0022000130&amp;Season=2020-21&amp;flag=1&amp;title=P.%20George%203PT%20%20(12%20PTS)%20(K.%20Leonard%202%20AST)", "P. George 3PT  (12 PTS) (K. Leonard 2 AST)")</f>
        <v>P. George 3PT  (12 PTS) (K. Leonard 2 AST)</v>
      </c>
      <c r="L3" s="2" t="str">
        <f>HYPERLINK("https://www.nba.com/game/...-vs-...-0022000130/play-by-play?watchFullGame=true", "LAC vs GSW - Q2 06:45.00")</f>
        <v>LAC vs GSW - Q2 06:45.00</v>
      </c>
      <c r="M3">
        <v>23.26</v>
      </c>
      <c r="N3">
        <v>2.89</v>
      </c>
      <c r="O3">
        <v>3.77</v>
      </c>
      <c r="P3">
        <v>231</v>
      </c>
      <c r="Q3">
        <v>-25</v>
      </c>
      <c r="R3">
        <v>2</v>
      </c>
      <c r="S3">
        <v>3</v>
      </c>
      <c r="T3" t="s">
        <v>73</v>
      </c>
    </row>
    <row r="4" spans="1:20" x14ac:dyDescent="0.25">
      <c r="A4">
        <v>21900035</v>
      </c>
      <c r="B4" t="s">
        <v>10</v>
      </c>
      <c r="C4" t="s">
        <v>61</v>
      </c>
      <c r="D4">
        <v>40</v>
      </c>
      <c r="E4">
        <v>45</v>
      </c>
      <c r="F4">
        <v>5</v>
      </c>
      <c r="G4">
        <v>2</v>
      </c>
      <c r="H4" s="1">
        <v>4.2708333333333331E-3</v>
      </c>
      <c r="I4">
        <v>2019</v>
      </c>
      <c r="J4" t="s">
        <v>59</v>
      </c>
      <c r="K4" s="2" t="str">
        <f>HYPERLINK("https://www.nba.com/stats/events?CFID=&amp;CFPARAMS=&amp;GameEventID=269&amp;GameID=0021900035&amp;Season=2019-20&amp;flag=1&amp;title=[LAC]%20Patterson%203pt%20shot:%20Made%20(3%20PTS)%20assist:%20Leonard%20(4%20AST)", "[LAC] Patterson 3pt shot: Made (3 PTS) assist: Leonard (4 AST)")</f>
        <v>[LAC] Patterson 3pt shot: Made (3 PTS) assist: Leonard (4 AST)</v>
      </c>
      <c r="L4" s="2" t="str">
        <f>HYPERLINK("https://www.nba.com/game/...-vs-...-0021900035/play-by-play?watchFullGame=true", "LAC vs PHX - Q2 06:09.00")</f>
        <v>LAC vs PHX - Q2 06:09.00</v>
      </c>
      <c r="M4">
        <v>22.99</v>
      </c>
      <c r="N4">
        <v>3.63</v>
      </c>
      <c r="O4">
        <v>95.9</v>
      </c>
      <c r="P4">
        <v>-230</v>
      </c>
      <c r="Q4">
        <v>-18</v>
      </c>
      <c r="R4">
        <v>3</v>
      </c>
      <c r="S4">
        <v>95</v>
      </c>
      <c r="T4" t="s">
        <v>73</v>
      </c>
    </row>
    <row r="5" spans="1:20" x14ac:dyDescent="0.25">
      <c r="A5">
        <v>21901241</v>
      </c>
      <c r="B5" t="s">
        <v>10</v>
      </c>
      <c r="C5" t="s">
        <v>61</v>
      </c>
      <c r="D5">
        <v>47</v>
      </c>
      <c r="E5">
        <v>34</v>
      </c>
      <c r="F5">
        <v>13</v>
      </c>
      <c r="G5">
        <v>2</v>
      </c>
      <c r="H5" s="1">
        <v>6.0648148148148145E-3</v>
      </c>
      <c r="I5">
        <v>2019</v>
      </c>
      <c r="J5" t="s">
        <v>59</v>
      </c>
      <c r="K5" s="2" t="str">
        <f>HYPERLINK("https://www.nba.com/stats/events?CFID=&amp;CFPARAMS=&amp;GameEventID=208&amp;GameID=0021901241&amp;Season=2019-20&amp;flag=1&amp;title=R.%20Jackson%2022'%203PT%20%20(5%20PTS)%20(K.%20Leonard%204%20AST)", "R. Jackson 22' 3PT  (5 PTS) (K. Leonard 4 AST)")</f>
        <v>R. Jackson 22' 3PT  (5 PTS) (K. Leonard 4 AST)</v>
      </c>
      <c r="L5" s="2" t="str">
        <f>HYPERLINK("https://www.nba.com/game/...-vs-...-0021901241/play-by-play?watchFullGame=true", "LAC vs NOP - Q2 08:44.00")</f>
        <v>LAC vs NOP - Q2 08:44.00</v>
      </c>
      <c r="M5">
        <v>22.09</v>
      </c>
      <c r="N5">
        <v>4.9400000000000004</v>
      </c>
      <c r="O5">
        <v>94.19</v>
      </c>
      <c r="P5">
        <v>-221</v>
      </c>
      <c r="Q5">
        <v>-6</v>
      </c>
      <c r="R5">
        <v>4</v>
      </c>
      <c r="S5">
        <v>94</v>
      </c>
      <c r="T5" t="s">
        <v>73</v>
      </c>
    </row>
    <row r="6" spans="1:20" x14ac:dyDescent="0.25">
      <c r="A6">
        <v>22000324</v>
      </c>
      <c r="B6" t="s">
        <v>10</v>
      </c>
      <c r="C6" t="s">
        <v>9</v>
      </c>
      <c r="D6">
        <v>8</v>
      </c>
      <c r="E6">
        <v>2</v>
      </c>
      <c r="F6">
        <v>6</v>
      </c>
      <c r="G6">
        <v>1</v>
      </c>
      <c r="H6" s="1">
        <v>7.083333333333333E-3</v>
      </c>
      <c r="I6">
        <v>2020</v>
      </c>
      <c r="J6" t="s">
        <v>59</v>
      </c>
      <c r="K6" s="2" t="str">
        <f>HYPERLINK("https://www.nba.com/stats/events?CFID=&amp;CFPARAMS=&amp;GameEventID=19&amp;GameID=0022000324&amp;Season=2020-21&amp;flag=1&amp;title=N.%20Batum%203PT%20%20(6%20PTS)%20(K.%20Leonard%202%20AST)", "N. Batum 3PT  (6 PTS) (K. Leonard 2 AST)")</f>
        <v>N. Batum 3PT  (6 PTS) (K. Leonard 2 AST)</v>
      </c>
      <c r="L6" s="2" t="str">
        <f>HYPERLINK("https://www.nba.com/game/...-vs-...-0022000324/play-by-play?watchFullGame=true", "LAC vs BKN - Q1 10:12.00")</f>
        <v>LAC vs BKN - Q1 10:12.00</v>
      </c>
      <c r="M6">
        <v>22.97</v>
      </c>
      <c r="N6">
        <v>4.55</v>
      </c>
      <c r="O6">
        <v>95.9</v>
      </c>
      <c r="P6">
        <v>-230</v>
      </c>
      <c r="Q6">
        <v>-10</v>
      </c>
      <c r="R6">
        <v>4</v>
      </c>
      <c r="S6">
        <v>95</v>
      </c>
      <c r="T6" t="s">
        <v>73</v>
      </c>
    </row>
    <row r="7" spans="1:20" s="3" customFormat="1" x14ac:dyDescent="0.25">
      <c r="A7" s="3">
        <v>22200538</v>
      </c>
      <c r="B7" s="3" t="s">
        <v>10</v>
      </c>
      <c r="C7" s="3" t="s">
        <v>9</v>
      </c>
      <c r="D7" s="3">
        <v>123</v>
      </c>
      <c r="E7" s="3">
        <v>121</v>
      </c>
      <c r="F7" s="3">
        <v>2</v>
      </c>
      <c r="G7" s="3">
        <v>4</v>
      </c>
      <c r="H7" s="4">
        <v>1.5162037037037036E-3</v>
      </c>
      <c r="I7" s="3">
        <v>2022</v>
      </c>
      <c r="J7" s="3" t="s">
        <v>59</v>
      </c>
      <c r="K7" s="5" t="str">
        <f>HYPERLINK("https://www.nba.com/stats/events?CFID=&amp;CFPARAMS=&amp;GameEventID=608&amp;GameID=0022200538&amp;Season=2022-23&amp;flag=1&amp;title=P.%20George%203PT%20pullup%20(40%20PTS)%20(K.%20Leonard%206%20AST)", "P. George 3PT pullup (40 PTS) (K. Leonard 6 AST)")</f>
        <v>P. George 3PT pullup (40 PTS) (K. Leonard 6 AST)</v>
      </c>
      <c r="L7" s="5" t="str">
        <f>HYPERLINK("https://www.nba.com/game/...-vs-...-0022200538/play-by-play?watchFullGame=true", "LAC vs IND - Q4 02:11.00")</f>
        <v>LAC vs IND - Q4 02:11.00</v>
      </c>
      <c r="M7" s="3">
        <v>23.43</v>
      </c>
      <c r="N7" s="3">
        <v>4.55</v>
      </c>
      <c r="O7" s="3">
        <v>96.81</v>
      </c>
      <c r="P7" s="3">
        <v>-234</v>
      </c>
      <c r="Q7" s="3">
        <v>-10</v>
      </c>
      <c r="R7" s="3">
        <v>4</v>
      </c>
      <c r="S7" s="3">
        <v>96</v>
      </c>
      <c r="T7" s="3" t="s">
        <v>73</v>
      </c>
    </row>
    <row r="8" spans="1:20" x14ac:dyDescent="0.25">
      <c r="A8">
        <v>22201041</v>
      </c>
      <c r="B8" t="s">
        <v>10</v>
      </c>
      <c r="C8" t="s">
        <v>9</v>
      </c>
      <c r="D8">
        <v>23</v>
      </c>
      <c r="E8">
        <v>20</v>
      </c>
      <c r="F8">
        <v>3</v>
      </c>
      <c r="G8">
        <v>1</v>
      </c>
      <c r="H8" s="1">
        <v>9.4907407407407408E-4</v>
      </c>
      <c r="I8">
        <v>2022</v>
      </c>
      <c r="J8" t="s">
        <v>59</v>
      </c>
      <c r="K8" s="2" t="str">
        <f>HYPERLINK("https://www.nba.com/stats/events?CFID=&amp;CFPARAMS=&amp;GameEventID=146&amp;GameID=0022201041&amp;Season=2022-23&amp;flag=1&amp;title=N.%20Batum%203PT%20%20(3%20PTS)%20(K.%20Leonard%201%20AST)", "N. Batum 3PT  (3 PTS) (K. Leonard 1 AST)")</f>
        <v>N. Batum 3PT  (3 PTS) (K. Leonard 1 AST)</v>
      </c>
      <c r="L8" s="2" t="str">
        <f>HYPERLINK("https://www.nba.com/game/...-vs-...-0022201041/play-by-play?watchFullGame=true", "LAC vs GSW - Q1 01:22.00")</f>
        <v>LAC vs GSW - Q1 01:22.00</v>
      </c>
      <c r="M8">
        <v>22.55</v>
      </c>
      <c r="N8">
        <v>4.99</v>
      </c>
      <c r="O8">
        <v>95.08</v>
      </c>
      <c r="P8">
        <v>-225</v>
      </c>
      <c r="Q8">
        <v>-6</v>
      </c>
      <c r="R8">
        <v>4</v>
      </c>
      <c r="S8">
        <v>95</v>
      </c>
      <c r="T8" t="s">
        <v>73</v>
      </c>
    </row>
    <row r="9" spans="1:20" x14ac:dyDescent="0.25">
      <c r="A9">
        <v>21901241</v>
      </c>
      <c r="B9" t="s">
        <v>10</v>
      </c>
      <c r="C9" t="s">
        <v>61</v>
      </c>
      <c r="D9">
        <v>37</v>
      </c>
      <c r="E9">
        <v>25</v>
      </c>
      <c r="F9">
        <v>12</v>
      </c>
      <c r="G9">
        <v>1</v>
      </c>
      <c r="H9" s="1">
        <v>7.6388888888888887E-5</v>
      </c>
      <c r="I9">
        <v>2019</v>
      </c>
      <c r="J9" t="s">
        <v>59</v>
      </c>
      <c r="K9" s="2" t="str">
        <f>HYPERLINK("https://www.nba.com/stats/events?CFID=&amp;CFPARAMS=&amp;GameEventID=145&amp;GameID=0021901241&amp;Season=2019-20&amp;flag=1&amp;title=J.%20Green%2023'%203PT%20%20(6%20PTS)%20(K.%20Leonard%203%20AST)", "J. Green 23' 3PT  (6 PTS) (K. Leonard 3 AST)")</f>
        <v>J. Green 23' 3PT  (6 PTS) (K. Leonard 3 AST)</v>
      </c>
      <c r="L9" s="2" t="str">
        <f>HYPERLINK("https://www.nba.com/game/...-vs-...-0021901241/play-by-play?watchFullGame=true", "LAC vs NOP - Q1 00:06.60")</f>
        <v>LAC vs NOP - Q1 00:06.60</v>
      </c>
      <c r="M9">
        <v>23.49</v>
      </c>
      <c r="N9">
        <v>4.68</v>
      </c>
      <c r="O9">
        <v>3.01</v>
      </c>
      <c r="P9">
        <v>235</v>
      </c>
      <c r="Q9">
        <v>-8</v>
      </c>
      <c r="R9">
        <v>4</v>
      </c>
      <c r="S9">
        <v>3</v>
      </c>
      <c r="T9" t="s">
        <v>73</v>
      </c>
    </row>
    <row r="10" spans="1:20" x14ac:dyDescent="0.25">
      <c r="A10">
        <v>42200172</v>
      </c>
      <c r="B10" t="s">
        <v>4</v>
      </c>
      <c r="C10" t="s">
        <v>64</v>
      </c>
      <c r="D10">
        <v>98</v>
      </c>
      <c r="E10">
        <v>108</v>
      </c>
      <c r="F10">
        <v>10</v>
      </c>
      <c r="G10">
        <v>4</v>
      </c>
      <c r="H10" s="1">
        <v>4.6527777777777774E-3</v>
      </c>
      <c r="I10" t="s">
        <v>67</v>
      </c>
      <c r="J10" t="s">
        <v>59</v>
      </c>
      <c r="K10" s="2" t="str">
        <f>HYPERLINK("https://www.nba.com/stats/events?CFID=&amp;CFPARAMS=&amp;GameEventID=540&amp;GameID=0042200172&amp;Season=2022-23&amp;flag=1&amp;title=R.%20Westbrook%20driving%20Layup%20(26%20PTS)%20(K.%20Leonard%207%20AST)", "R. Westbrook driving Layup (26 PTS) (K. Leonard 7 AST)")</f>
        <v>R. Westbrook driving Layup (26 PTS) (K. Leonard 7 AST)</v>
      </c>
      <c r="L10" s="2" t="str">
        <f>HYPERLINK("https://www.nba.com/game/...-vs-...-0042200172/play-by-play?watchFullGame=true", "LAC vs PHX - Q4 06:42.00")</f>
        <v>LAC vs PHX - Q4 06:42.00</v>
      </c>
      <c r="M10">
        <v>0.86</v>
      </c>
      <c r="N10">
        <v>4.68</v>
      </c>
      <c r="O10">
        <v>50.25</v>
      </c>
      <c r="P10">
        <v>4</v>
      </c>
      <c r="Q10">
        <v>50</v>
      </c>
      <c r="R10">
        <v>4</v>
      </c>
      <c r="S10">
        <v>50</v>
      </c>
      <c r="T10" t="s">
        <v>73</v>
      </c>
    </row>
    <row r="11" spans="1:20" x14ac:dyDescent="0.25">
      <c r="A11">
        <v>22300827</v>
      </c>
      <c r="B11" t="s">
        <v>10</v>
      </c>
      <c r="C11" t="s">
        <v>9</v>
      </c>
      <c r="D11">
        <v>78</v>
      </c>
      <c r="E11">
        <v>85</v>
      </c>
      <c r="F11">
        <v>7</v>
      </c>
      <c r="G11">
        <v>3</v>
      </c>
      <c r="H11" s="1">
        <v>1.0648148148148149E-3</v>
      </c>
      <c r="I11">
        <v>2023</v>
      </c>
      <c r="J11" t="s">
        <v>59</v>
      </c>
      <c r="K11" s="2" t="str">
        <f>HYPERLINK("https://www.nba.com/stats/events?CFID=&amp;CFPARAMS=&amp;GameEventID=453&amp;GameID=0022300827&amp;Season=2023-24&amp;flag=1&amp;title=N.%20Powell%203PT%20%20(16%20PTS)%20(K.%20Leonard%202%20AST)", "N. Powell 3PT  (16 PTS) (K. Leonard 2 AST)")</f>
        <v>N. Powell 3PT  (16 PTS) (K. Leonard 2 AST)</v>
      </c>
      <c r="L11" s="2" t="str">
        <f>HYPERLINK("https://www.nba.com/game/...-vs-...-0022300827/play-by-play?watchFullGame=true", "LAC vs SAC - Q3 01:32.00")</f>
        <v>LAC vs SAC - Q3 01:32.00</v>
      </c>
      <c r="M11">
        <v>22.59</v>
      </c>
      <c r="N11">
        <v>4.12</v>
      </c>
      <c r="O11">
        <v>95.1</v>
      </c>
      <c r="P11">
        <v>-225</v>
      </c>
      <c r="Q11">
        <v>-14</v>
      </c>
      <c r="R11">
        <v>4</v>
      </c>
      <c r="S11">
        <v>95</v>
      </c>
      <c r="T11" t="s">
        <v>73</v>
      </c>
    </row>
    <row r="12" spans="1:20" x14ac:dyDescent="0.25">
      <c r="A12">
        <v>22300658</v>
      </c>
      <c r="B12" t="s">
        <v>10</v>
      </c>
      <c r="C12" t="s">
        <v>9</v>
      </c>
      <c r="D12">
        <v>81</v>
      </c>
      <c r="E12">
        <v>82</v>
      </c>
      <c r="F12">
        <v>1</v>
      </c>
      <c r="G12">
        <v>3</v>
      </c>
      <c r="H12" s="1">
        <v>9.0277777777777774E-4</v>
      </c>
      <c r="I12">
        <v>2023</v>
      </c>
      <c r="J12" t="s">
        <v>59</v>
      </c>
      <c r="K12" s="2" t="str">
        <f>HYPERLINK("https://www.nba.com/stats/events?CFID=&amp;CFPARAMS=&amp;GameEventID=476&amp;GameID=0022300658&amp;Season=2023-24&amp;flag=1&amp;title=N.%20Powell%203PT%20%20(13%20PTS)%20(K.%20Leonard%203%20AST)", "N. Powell 3PT  (13 PTS) (K. Leonard 3 AST)")</f>
        <v>N. Powell 3PT  (13 PTS) (K. Leonard 3 AST)</v>
      </c>
      <c r="L12" s="2" t="str">
        <f>HYPERLINK("https://www.nba.com/game/...-vs-...-0022300658/play-by-play?watchFullGame=true", "LAC vs CLE - Q3 01:18.00")</f>
        <v>LAC vs CLE - Q3 01:18.00</v>
      </c>
      <c r="M12">
        <v>23.8</v>
      </c>
      <c r="N12">
        <v>4.42</v>
      </c>
      <c r="O12">
        <v>97.55</v>
      </c>
      <c r="P12">
        <v>-238</v>
      </c>
      <c r="Q12">
        <v>-11</v>
      </c>
      <c r="R12">
        <v>4</v>
      </c>
      <c r="S12">
        <v>97</v>
      </c>
      <c r="T12" t="s">
        <v>73</v>
      </c>
    </row>
    <row r="13" spans="1:20" x14ac:dyDescent="0.25">
      <c r="A13">
        <v>41900232</v>
      </c>
      <c r="B13" t="s">
        <v>10</v>
      </c>
      <c r="C13" t="s">
        <v>61</v>
      </c>
      <c r="D13">
        <v>86</v>
      </c>
      <c r="E13">
        <v>91</v>
      </c>
      <c r="F13">
        <v>5</v>
      </c>
      <c r="G13">
        <v>4</v>
      </c>
      <c r="H13" s="1">
        <v>5.9722222222222225E-3</v>
      </c>
      <c r="I13" t="s">
        <v>62</v>
      </c>
      <c r="J13" t="s">
        <v>59</v>
      </c>
      <c r="K13" s="2" t="str">
        <f>HYPERLINK("https://www.nba.com/stats/events?CFID=&amp;CFPARAMS=&amp;GameEventID=552&amp;GameID=0041900232&amp;Season=2019-20&amp;flag=1&amp;title=P.%20George%2023'%203PT%20%20(22%20PTS)%20(K.%20Leonard%206%20AST)", "P. George 23' 3PT  (22 PTS) (K. Leonard 6 AST)")</f>
        <v>P. George 23' 3PT  (22 PTS) (K. Leonard 6 AST)</v>
      </c>
      <c r="L13" s="2" t="str">
        <f>HYPERLINK("https://www.nba.com/game/...-vs-...-0041900232/play-by-play?watchFullGame=true", "LAC vs DEN - Q4 08:36.00")</f>
        <v>LAC vs DEN - Q4 08:36.00</v>
      </c>
      <c r="M13">
        <v>23.2</v>
      </c>
      <c r="N13">
        <v>4.55</v>
      </c>
      <c r="O13">
        <v>96.39</v>
      </c>
      <c r="P13">
        <v>-232</v>
      </c>
      <c r="Q13">
        <v>-10</v>
      </c>
      <c r="R13">
        <v>4</v>
      </c>
      <c r="S13">
        <v>96</v>
      </c>
      <c r="T13" t="s">
        <v>73</v>
      </c>
    </row>
    <row r="14" spans="1:20" x14ac:dyDescent="0.25">
      <c r="A14">
        <v>22001002</v>
      </c>
      <c r="B14" t="s">
        <v>4</v>
      </c>
      <c r="C14" t="s">
        <v>65</v>
      </c>
      <c r="D14">
        <v>78</v>
      </c>
      <c r="E14">
        <v>56</v>
      </c>
      <c r="F14">
        <v>22</v>
      </c>
      <c r="G14">
        <v>3</v>
      </c>
      <c r="H14" s="1">
        <v>3.6458333333333334E-3</v>
      </c>
      <c r="I14">
        <v>2020</v>
      </c>
      <c r="J14" t="s">
        <v>59</v>
      </c>
      <c r="K14" s="2" t="str">
        <f>HYPERLINK("https://www.nba.com/stats/events?CFID=&amp;CFPARAMS=&amp;GameEventID=389&amp;GameID=0022001002&amp;Season=2020-21&amp;flag=1&amp;title=I.%20Zubac%20DUNK%20(13%20PTS)%20(K.%20Leonard%206%20AST)", "I. Zubac DUNK (13 PTS) (K. Leonard 6 AST)")</f>
        <v>I. Zubac DUNK (13 PTS) (K. Leonard 6 AST)</v>
      </c>
      <c r="L14" s="2" t="str">
        <f>HYPERLINK("https://www.nba.com/game/...-vs-...-0022001002/play-by-play?watchFullGame=true", "LAC vs LAL - Q3 05:15.00")</f>
        <v>LAC vs LAL - Q3 05:15.00</v>
      </c>
      <c r="M14">
        <v>0.85</v>
      </c>
      <c r="N14">
        <v>4.68</v>
      </c>
      <c r="O14">
        <v>50.07</v>
      </c>
      <c r="P14">
        <v>4</v>
      </c>
      <c r="Q14">
        <v>-8</v>
      </c>
      <c r="R14">
        <v>4</v>
      </c>
      <c r="S14">
        <v>50</v>
      </c>
      <c r="T14" t="s">
        <v>73</v>
      </c>
    </row>
    <row r="15" spans="1:20" x14ac:dyDescent="0.25">
      <c r="A15">
        <v>42000173</v>
      </c>
      <c r="B15" t="s">
        <v>4</v>
      </c>
      <c r="C15" t="s">
        <v>64</v>
      </c>
      <c r="D15">
        <v>102</v>
      </c>
      <c r="E15">
        <v>94</v>
      </c>
      <c r="F15">
        <v>8</v>
      </c>
      <c r="G15">
        <v>4</v>
      </c>
      <c r="H15" s="1">
        <v>4.43287037037037E-3</v>
      </c>
      <c r="I15" t="s">
        <v>66</v>
      </c>
      <c r="J15" t="s">
        <v>59</v>
      </c>
      <c r="K15" s="2" t="str">
        <f>HYPERLINK("https://www.nba.com/stats/events?CFID=&amp;CFPARAMS=&amp;GameEventID=502&amp;GameID=0042000173&amp;Season=2020-21&amp;flag=1&amp;title=R.%20Rondo%20driving%20finger%20roll%20Layup%20(5%20PTS)%20(K.%20Leonard%202%20AST)", "R. Rondo driving finger roll Layup (5 PTS) (K. Leonard 2 AST)")</f>
        <v>R. Rondo driving finger roll Layup (5 PTS) (K. Leonard 2 AST)</v>
      </c>
      <c r="L15" s="2" t="str">
        <f>HYPERLINK("https://www.nba.com/game/...-vs-...-0042000173/play-by-play?watchFullGame=true", "LAC vs DAL - Q4 06:23.00")</f>
        <v>LAC vs DAL - Q4 06:23.00</v>
      </c>
      <c r="M15">
        <v>1.54</v>
      </c>
      <c r="N15">
        <v>4.55</v>
      </c>
      <c r="O15">
        <v>47.62</v>
      </c>
      <c r="P15">
        <v>4</v>
      </c>
      <c r="Q15">
        <v>47</v>
      </c>
      <c r="R15">
        <v>4</v>
      </c>
      <c r="S15">
        <v>47</v>
      </c>
      <c r="T15" t="s">
        <v>73</v>
      </c>
    </row>
    <row r="16" spans="1:20" x14ac:dyDescent="0.25">
      <c r="A16">
        <v>41900234</v>
      </c>
      <c r="B16" t="s">
        <v>10</v>
      </c>
      <c r="C16" t="s">
        <v>61</v>
      </c>
      <c r="D16">
        <v>48</v>
      </c>
      <c r="E16">
        <v>36</v>
      </c>
      <c r="F16">
        <v>12</v>
      </c>
      <c r="G16">
        <v>2</v>
      </c>
      <c r="H16" s="1">
        <v>2.488425925925926E-3</v>
      </c>
      <c r="I16" t="s">
        <v>62</v>
      </c>
      <c r="J16" t="s">
        <v>59</v>
      </c>
      <c r="K16" s="2" t="str">
        <f>HYPERLINK("https://www.nba.com/stats/events?CFID=&amp;CFPARAMS=&amp;GameEventID=290&amp;GameID=0041900234&amp;Season=2019-20&amp;flag=1&amp;title=M.%20Morris%20Sr.%2023'%203PT%20%20(8%20PTS)%20(K.%20Leonard%203%20AST)", "M. Morris Sr. 23' 3PT  (8 PTS) (K. Leonard 3 AST)")</f>
        <v>M. Morris Sr. 23' 3PT  (8 PTS) (K. Leonard 3 AST)</v>
      </c>
      <c r="L16" s="2" t="str">
        <f>HYPERLINK("https://www.nba.com/game/...-vs-...-0041900234/play-by-play?watchFullGame=true", "LAC vs DEN - Q2 03:35.00")</f>
        <v>LAC vs DEN - Q2 03:35.00</v>
      </c>
      <c r="M16">
        <v>23.07</v>
      </c>
      <c r="N16">
        <v>4.68</v>
      </c>
      <c r="O16">
        <v>96.15</v>
      </c>
      <c r="P16">
        <v>-231</v>
      </c>
      <c r="Q16">
        <v>-8</v>
      </c>
      <c r="R16">
        <v>4</v>
      </c>
      <c r="S16">
        <v>96</v>
      </c>
      <c r="T16" t="s">
        <v>73</v>
      </c>
    </row>
    <row r="17" spans="1:20" x14ac:dyDescent="0.25">
      <c r="A17">
        <v>21900212</v>
      </c>
      <c r="B17" t="s">
        <v>4</v>
      </c>
      <c r="C17" t="s">
        <v>63</v>
      </c>
      <c r="D17">
        <v>8</v>
      </c>
      <c r="E17">
        <v>4</v>
      </c>
      <c r="F17">
        <v>4</v>
      </c>
      <c r="G17">
        <v>1</v>
      </c>
      <c r="H17" s="1">
        <v>5.3009259259259259E-3</v>
      </c>
      <c r="I17">
        <v>2019</v>
      </c>
      <c r="J17" t="s">
        <v>59</v>
      </c>
      <c r="K17" s="2" t="str">
        <f>HYPERLINK("https://www.nba.com/stats/events?CFID=&amp;CFPARAMS=&amp;GameEventID=54&amp;GameID=0021900212&amp;Season=2019-20&amp;flag=1&amp;title=I.%20Zubac%20dunk%20(2%20PTS)%20(K.%20Leonard%202%20AST)", "I. Zubac dunk (2 PTS) (K. Leonard 2 AST)")</f>
        <v>I. Zubac dunk (2 PTS) (K. Leonard 2 AST)</v>
      </c>
      <c r="L17" s="2" t="str">
        <f>HYPERLINK("https://www.nba.com/game/...-vs-...-0021900212/play-by-play?watchFullGame=true", "LAC vs BOS - Q1 07:38.00")</f>
        <v>LAC vs BOS - Q1 07:38.00</v>
      </c>
      <c r="M17">
        <v>0.66</v>
      </c>
      <c r="N17">
        <v>5.7</v>
      </c>
      <c r="O17">
        <v>49.93</v>
      </c>
      <c r="P17">
        <v>5</v>
      </c>
      <c r="Q17">
        <v>1</v>
      </c>
      <c r="R17">
        <v>5</v>
      </c>
      <c r="S17">
        <v>49</v>
      </c>
      <c r="T17" t="s">
        <v>73</v>
      </c>
    </row>
    <row r="18" spans="1:20" x14ac:dyDescent="0.25">
      <c r="A18">
        <v>22000625</v>
      </c>
      <c r="B18" t="s">
        <v>4</v>
      </c>
      <c r="C18" t="s">
        <v>65</v>
      </c>
      <c r="D18">
        <v>63</v>
      </c>
      <c r="E18">
        <v>70</v>
      </c>
      <c r="F18">
        <v>7</v>
      </c>
      <c r="G18">
        <v>3</v>
      </c>
      <c r="H18" s="1">
        <v>2.8240740740740739E-3</v>
      </c>
      <c r="I18">
        <v>2020</v>
      </c>
      <c r="J18" t="s">
        <v>59</v>
      </c>
      <c r="K18" s="2" t="str">
        <f>HYPERLINK("https://www.nba.com/stats/events?CFID=&amp;CFPARAMS=&amp;GameEventID=423&amp;GameID=0022000625&amp;Season=2020-21&amp;flag=1&amp;title=I.%20Zubac%20cutting%20DUNK%20(10%20PTS)%20(K.%20Leonard%205%20AST)", "I. Zubac cutting DUNK (10 PTS) (K. Leonard 5 AST)")</f>
        <v>I. Zubac cutting DUNK (10 PTS) (K. Leonard 5 AST)</v>
      </c>
      <c r="L18" s="2" t="str">
        <f>HYPERLINK("https://www.nba.com/game/...-vs-...-0022000625/play-by-play?watchFullGame=true", "LAC vs DAL - Q3 04:04.00")</f>
        <v>LAC vs DAL - Q3 04:04.00</v>
      </c>
      <c r="M18">
        <v>0.09</v>
      </c>
      <c r="N18">
        <v>5.6</v>
      </c>
      <c r="O18">
        <v>49.82</v>
      </c>
      <c r="P18">
        <v>1</v>
      </c>
      <c r="Q18">
        <v>49</v>
      </c>
      <c r="R18">
        <v>5</v>
      </c>
      <c r="S18">
        <v>49</v>
      </c>
      <c r="T18" t="s">
        <v>73</v>
      </c>
    </row>
    <row r="19" spans="1:20" x14ac:dyDescent="0.25">
      <c r="A19">
        <v>21900157</v>
      </c>
      <c r="B19" t="s">
        <v>10</v>
      </c>
      <c r="C19" t="s">
        <v>61</v>
      </c>
      <c r="D19">
        <v>91</v>
      </c>
      <c r="E19">
        <v>98</v>
      </c>
      <c r="F19">
        <v>7</v>
      </c>
      <c r="G19">
        <v>4</v>
      </c>
      <c r="H19" s="1">
        <v>8.9120370370370373E-4</v>
      </c>
      <c r="I19">
        <v>2019</v>
      </c>
      <c r="J19" t="s">
        <v>59</v>
      </c>
      <c r="K19" s="2" t="str">
        <f>HYPERLINK("https://www.nba.com/stats/events?CFID=&amp;CFPARAMS=&amp;GameEventID=657&amp;GameID=0021900157&amp;Season=2019-20&amp;flag=1&amp;title=J.%20Green%2023'%203PT%20%20(14%20PTS)%20(K.%20Leonard%207%20AST)", "J. Green 23' 3PT  (14 PTS) (K. Leonard 7 AST)")</f>
        <v>J. Green 23' 3PT  (14 PTS) (K. Leonard 7 AST)</v>
      </c>
      <c r="L19" s="2" t="str">
        <f>HYPERLINK("https://www.nba.com/game/...-vs-...-0021900157/play-by-play?watchFullGame=true", "LAC vs HOU - Q4 01:17.00")</f>
        <v>LAC vs HOU - Q4 01:17.00</v>
      </c>
      <c r="M19">
        <v>22.9</v>
      </c>
      <c r="N19">
        <v>5.96</v>
      </c>
      <c r="O19">
        <v>95.76</v>
      </c>
      <c r="P19">
        <v>-229</v>
      </c>
      <c r="Q19">
        <v>4</v>
      </c>
      <c r="R19">
        <v>5</v>
      </c>
      <c r="S19">
        <v>95</v>
      </c>
      <c r="T19" t="s">
        <v>73</v>
      </c>
    </row>
    <row r="20" spans="1:20" x14ac:dyDescent="0.25">
      <c r="A20">
        <v>21900035</v>
      </c>
      <c r="B20" t="s">
        <v>4</v>
      </c>
      <c r="C20" t="s">
        <v>63</v>
      </c>
      <c r="D20">
        <v>5</v>
      </c>
      <c r="E20">
        <v>10</v>
      </c>
      <c r="F20">
        <v>5</v>
      </c>
      <c r="G20">
        <v>1</v>
      </c>
      <c r="H20" s="1">
        <v>6.076388888888889E-3</v>
      </c>
      <c r="I20">
        <v>2019</v>
      </c>
      <c r="J20" t="s">
        <v>59</v>
      </c>
      <c r="K20" s="2" t="str">
        <f>HYPERLINK("https://www.nba.com/stats/events?CFID=&amp;CFPARAMS=&amp;GameEventID=38&amp;GameID=0021900035&amp;Season=2019-20&amp;flag=1&amp;title=[LAC]%20Zubac%20dunk:%20Made%20(2%20PTS)%20assist:%20Leonard%20(1%20AST)", "[LAC] Zubac dunk: Made (2 PTS) assist: Leonard (1 AST)")</f>
        <v>[LAC] Zubac dunk: Made (2 PTS) assist: Leonard (1 AST)</v>
      </c>
      <c r="L20" s="2" t="str">
        <f>HYPERLINK("https://www.nba.com/game/...-vs-...-0021900035/play-by-play?watchFullGame=true", "LAC vs PHX - Q1 08:45.00")</f>
        <v>LAC vs PHX - Q1 08:45.00</v>
      </c>
      <c r="M20">
        <v>0.73</v>
      </c>
      <c r="N20">
        <v>5.47</v>
      </c>
      <c r="O20">
        <v>48.84</v>
      </c>
      <c r="P20">
        <v>6</v>
      </c>
      <c r="Q20">
        <v>-1</v>
      </c>
      <c r="R20">
        <v>5</v>
      </c>
      <c r="S20">
        <v>48</v>
      </c>
      <c r="T20" t="s">
        <v>73</v>
      </c>
    </row>
    <row r="21" spans="1:20" x14ac:dyDescent="0.25">
      <c r="A21">
        <v>22000601</v>
      </c>
      <c r="B21" t="s">
        <v>4</v>
      </c>
      <c r="C21" t="s">
        <v>64</v>
      </c>
      <c r="D21">
        <v>50</v>
      </c>
      <c r="E21">
        <v>60</v>
      </c>
      <c r="F21">
        <v>10</v>
      </c>
      <c r="G21">
        <v>2</v>
      </c>
      <c r="H21" s="1">
        <v>1.5046296296296296E-3</v>
      </c>
      <c r="I21">
        <v>2020</v>
      </c>
      <c r="J21" t="s">
        <v>59</v>
      </c>
      <c r="K21" s="2" t="str">
        <f>HYPERLINK("https://www.nba.com/stats/events?CFID=&amp;CFPARAMS=&amp;GameEventID=291&amp;GameID=0022000601&amp;Season=2020-21&amp;flag=1&amp;title=R.%20Jackson%20cutting%20Layup%20(6%20PTS)%20(K.%20Leonard%202%20AST)", "R. Jackson cutting Layup (6 PTS) (K. Leonard 2 AST)")</f>
        <v>R. Jackson cutting Layup (6 PTS) (K. Leonard 2 AST)</v>
      </c>
      <c r="L21" s="2" t="str">
        <f>HYPERLINK("https://www.nba.com/game/...-vs-...-0022000601/play-by-play?watchFullGame=true", "LAC vs NOP - Q2 02:10.00")</f>
        <v>LAC vs NOP - Q2 02:10.00</v>
      </c>
      <c r="M21">
        <v>2.0499999999999998</v>
      </c>
      <c r="N21">
        <v>5.73</v>
      </c>
      <c r="O21">
        <v>45.9</v>
      </c>
      <c r="P21">
        <v>20</v>
      </c>
      <c r="Q21">
        <v>1</v>
      </c>
      <c r="R21">
        <v>5</v>
      </c>
      <c r="S21">
        <v>45</v>
      </c>
      <c r="T21" t="s">
        <v>73</v>
      </c>
    </row>
    <row r="22" spans="1:20" x14ac:dyDescent="0.25">
      <c r="A22">
        <v>22300708</v>
      </c>
      <c r="B22" t="s">
        <v>4</v>
      </c>
      <c r="C22" t="s">
        <v>65</v>
      </c>
      <c r="D22">
        <v>35</v>
      </c>
      <c r="E22">
        <v>36</v>
      </c>
      <c r="F22">
        <v>1</v>
      </c>
      <c r="G22">
        <v>2</v>
      </c>
      <c r="H22" s="1">
        <v>2.9745370370370373E-3</v>
      </c>
      <c r="I22">
        <v>2023</v>
      </c>
      <c r="J22" t="s">
        <v>59</v>
      </c>
      <c r="K22" s="2" t="str">
        <f>HYPERLINK("https://www.nba.com/stats/events?CFID=&amp;CFPARAMS=&amp;GameEventID=218&amp;GameID=0022300708&amp;Season=2023-24&amp;flag=1&amp;title=I.%20Zubac%20DUNK%20(2%20PTS)%20(K.%20Leonard%201%20AST)", "I. Zubac DUNK (2 PTS) (K. Leonard 1 AST)")</f>
        <v>I. Zubac DUNK (2 PTS) (K. Leonard 1 AST)</v>
      </c>
      <c r="L22" s="2" t="str">
        <f>HYPERLINK("https://www.nba.com/game/...-vs-...-0022300708/play-by-play?watchFullGame=true", "LAC vs MIA - Q2 04:17.00")</f>
        <v>LAC vs MIA - Q2 04:17.00</v>
      </c>
      <c r="M22">
        <v>2.1</v>
      </c>
      <c r="N22">
        <v>5.86</v>
      </c>
      <c r="O22">
        <v>45.83</v>
      </c>
      <c r="P22">
        <v>21</v>
      </c>
      <c r="Q22">
        <v>3</v>
      </c>
      <c r="R22">
        <v>5</v>
      </c>
      <c r="S22">
        <v>45</v>
      </c>
      <c r="T22" t="s">
        <v>73</v>
      </c>
    </row>
    <row r="23" spans="1:20" x14ac:dyDescent="0.25">
      <c r="A23">
        <v>21901241</v>
      </c>
      <c r="B23" t="s">
        <v>10</v>
      </c>
      <c r="C23" t="s">
        <v>61</v>
      </c>
      <c r="D23">
        <v>9</v>
      </c>
      <c r="E23">
        <v>2</v>
      </c>
      <c r="F23">
        <v>7</v>
      </c>
      <c r="G23">
        <v>1</v>
      </c>
      <c r="H23" s="1">
        <v>7.2569444444444443E-3</v>
      </c>
      <c r="I23">
        <v>2019</v>
      </c>
      <c r="J23" t="s">
        <v>59</v>
      </c>
      <c r="K23" s="2" t="str">
        <f>HYPERLINK("https://www.nba.com/stats/events?CFID=&amp;CFPARAMS=&amp;GameEventID=20&amp;GameID=0021901241&amp;Season=2019-20&amp;flag=1&amp;title=P.%20George%2022'%203PT%20%20(6%20PTS)%20(K.%20Leonard%202%20AST)", "P. George 22' 3PT  (6 PTS) (K. Leonard 2 AST)")</f>
        <v>P. George 22' 3PT  (6 PTS) (K. Leonard 2 AST)</v>
      </c>
      <c r="L23" s="2" t="str">
        <f>HYPERLINK("https://www.nba.com/game/...-vs-...-0021901241/play-by-play?watchFullGame=true", "LAC vs NOP - Q1 10:27.00")</f>
        <v>LAC vs NOP - Q1 10:27.00</v>
      </c>
      <c r="M23">
        <v>22.23</v>
      </c>
      <c r="N23">
        <v>5.73</v>
      </c>
      <c r="O23">
        <v>94.43</v>
      </c>
      <c r="P23">
        <v>-222</v>
      </c>
      <c r="Q23">
        <v>1</v>
      </c>
      <c r="R23">
        <v>5</v>
      </c>
      <c r="S23">
        <v>94</v>
      </c>
      <c r="T23" t="s">
        <v>73</v>
      </c>
    </row>
    <row r="24" spans="1:20" x14ac:dyDescent="0.25">
      <c r="A24">
        <v>21900145</v>
      </c>
      <c r="B24" t="s">
        <v>4</v>
      </c>
      <c r="C24" t="s">
        <v>63</v>
      </c>
      <c r="D24">
        <v>60</v>
      </c>
      <c r="E24">
        <v>55</v>
      </c>
      <c r="F24">
        <v>5</v>
      </c>
      <c r="G24">
        <v>3</v>
      </c>
      <c r="H24" s="1">
        <v>4.8263888888888887E-3</v>
      </c>
      <c r="I24">
        <v>2019</v>
      </c>
      <c r="J24" t="s">
        <v>59</v>
      </c>
      <c r="K24" s="2" t="str">
        <f>HYPERLINK("https://www.nba.com/stats/events?CFID=&amp;CFPARAMS=&amp;GameEventID=404&amp;GameID=0021900145&amp;Season=2019-20&amp;flag=1&amp;title=[LAC]%20Zubac%20dunk:%20Made%20(6%20PTS)%20assist:%20Leonard%20(7%20AST)", "[LAC] Zubac dunk: Made (6 PTS) assist: Leonard (7 AST)")</f>
        <v>[LAC] Zubac dunk: Made (6 PTS) assist: Leonard (7 AST)</v>
      </c>
      <c r="L24" s="2" t="str">
        <f>HYPERLINK("https://www.nba.com/game/...-vs-...-0021900145/play-by-play?watchFullGame=true", "LAC vs TOR - Q3 06:57.00")</f>
        <v>LAC vs TOR - Q3 06:57.00</v>
      </c>
      <c r="M24">
        <v>1.07</v>
      </c>
      <c r="N24">
        <v>5.96</v>
      </c>
      <c r="O24">
        <v>51.16</v>
      </c>
      <c r="P24">
        <v>-6</v>
      </c>
      <c r="Q24">
        <v>4</v>
      </c>
      <c r="R24">
        <v>5</v>
      </c>
      <c r="S24">
        <v>51</v>
      </c>
      <c r="T24" t="s">
        <v>73</v>
      </c>
    </row>
    <row r="25" spans="1:20" x14ac:dyDescent="0.25">
      <c r="A25">
        <v>21900145</v>
      </c>
      <c r="B25" t="s">
        <v>4</v>
      </c>
      <c r="C25" t="s">
        <v>63</v>
      </c>
      <c r="D25">
        <v>86</v>
      </c>
      <c r="E25">
        <v>82</v>
      </c>
      <c r="F25">
        <v>4</v>
      </c>
      <c r="G25">
        <v>4</v>
      </c>
      <c r="H25" s="1">
        <v>5.208333333333333E-3</v>
      </c>
      <c r="I25">
        <v>2019</v>
      </c>
      <c r="J25" t="s">
        <v>59</v>
      </c>
      <c r="K25" s="2" t="str">
        <f>HYPERLINK("https://www.nba.com/stats/events?CFID=&amp;CFPARAMS=&amp;GameEventID=575&amp;GameID=0021900145&amp;Season=2019-20&amp;flag=1&amp;title=[LAC]%20Harrell%20dunk:%20Made%20(12%20PTS)%20assist:%20Leonard%20(8%20AST)", "[LAC] Harrell dunk: Made (12 PTS) assist: Leonard (8 AST)")</f>
        <v>[LAC] Harrell dunk: Made (12 PTS) assist: Leonard (8 AST)</v>
      </c>
      <c r="L25" s="2" t="str">
        <f>HYPERLINK("https://www.nba.com/game/...-vs-...-0021900145/play-by-play?watchFullGame=true", "LAC vs TOR - Q4 07:30.00")</f>
        <v>LAC vs TOR - Q4 07:30.00</v>
      </c>
      <c r="M25">
        <v>0.96</v>
      </c>
      <c r="N25">
        <v>5.7</v>
      </c>
      <c r="O25">
        <v>51.4</v>
      </c>
      <c r="P25">
        <v>-7</v>
      </c>
      <c r="Q25">
        <v>1</v>
      </c>
      <c r="R25">
        <v>5</v>
      </c>
      <c r="S25">
        <v>51</v>
      </c>
      <c r="T25" t="s">
        <v>73</v>
      </c>
    </row>
    <row r="26" spans="1:20" x14ac:dyDescent="0.25">
      <c r="A26">
        <v>21900239</v>
      </c>
      <c r="B26" t="s">
        <v>4</v>
      </c>
      <c r="C26" t="s">
        <v>69</v>
      </c>
      <c r="D26">
        <v>88</v>
      </c>
      <c r="E26">
        <v>80</v>
      </c>
      <c r="F26">
        <v>8</v>
      </c>
      <c r="G26">
        <v>3</v>
      </c>
      <c r="H26" s="1">
        <v>2.7893518518518519E-3</v>
      </c>
      <c r="I26">
        <v>2019</v>
      </c>
      <c r="J26" t="s">
        <v>59</v>
      </c>
      <c r="K26" s="2" t="str">
        <f>HYPERLINK("https://www.nba.com/stats/events?CFID=&amp;CFPARAMS=&amp;GameEventID=461&amp;GameID=0021900239&amp;Season=2019-20&amp;flag=1&amp;title=M.%20Harrell%20layup%20(12%20PTS)%20(K.%20Leonard%206%20AST)", "M. Harrell layup (12 PTS) (K. Leonard 6 AST)")</f>
        <v>M. Harrell layup (12 PTS) (K. Leonard 6 AST)</v>
      </c>
      <c r="L26" s="2" t="str">
        <f>HYPERLINK("https://www.nba.com/game/...-vs-...-0021900239/play-by-play?watchFullGame=true", "LAC vs NOP - Q3 04:01.00")</f>
        <v>LAC vs NOP - Q3 04:01.00</v>
      </c>
      <c r="M26">
        <v>0.84</v>
      </c>
      <c r="N26">
        <v>5.57</v>
      </c>
      <c r="O26">
        <v>48.71</v>
      </c>
      <c r="P26">
        <v>6</v>
      </c>
      <c r="Q26">
        <v>48</v>
      </c>
      <c r="R26">
        <v>5</v>
      </c>
      <c r="S26">
        <v>48</v>
      </c>
      <c r="T26" t="s">
        <v>73</v>
      </c>
    </row>
    <row r="27" spans="1:20" x14ac:dyDescent="0.25">
      <c r="A27">
        <v>21900359</v>
      </c>
      <c r="B27" t="s">
        <v>10</v>
      </c>
      <c r="C27" t="s">
        <v>61</v>
      </c>
      <c r="D27">
        <v>50</v>
      </c>
      <c r="E27">
        <v>40</v>
      </c>
      <c r="F27">
        <v>10</v>
      </c>
      <c r="G27">
        <v>2</v>
      </c>
      <c r="H27" s="1">
        <v>2.4652777777777776E-3</v>
      </c>
      <c r="I27">
        <v>2019</v>
      </c>
      <c r="J27" t="s">
        <v>59</v>
      </c>
      <c r="K27" s="2" t="str">
        <f>HYPERLINK("https://www.nba.com/stats/events?CFID=&amp;CFPARAMS=&amp;GameEventID=300&amp;GameID=0021900359&amp;Season=2019-20&amp;flag=1&amp;title=P.%20Beverley%2022'%203PT%20%20(11%20PTS)%20(K.%20Leonard%202%20AST)", "P. Beverley 22' 3PT  (11 PTS) (K. Leonard 2 AST)")</f>
        <v>P. Beverley 22' 3PT  (11 PTS) (K. Leonard 2 AST)</v>
      </c>
      <c r="L27" s="2" t="str">
        <f>HYPERLINK("https://www.nba.com/game/...-vs-...-0021900359/play-by-play?watchFullGame=true", "LAC vs TOR - Q2 03:33.00")</f>
        <v>LAC vs TOR - Q2 03:33.00</v>
      </c>
      <c r="M27">
        <v>22.35</v>
      </c>
      <c r="N27">
        <v>5.6</v>
      </c>
      <c r="O27">
        <v>94.68</v>
      </c>
      <c r="P27">
        <v>-223</v>
      </c>
      <c r="Q27">
        <v>94</v>
      </c>
      <c r="R27">
        <v>5</v>
      </c>
      <c r="S27">
        <v>94</v>
      </c>
      <c r="T27" t="s">
        <v>73</v>
      </c>
    </row>
    <row r="28" spans="1:20" x14ac:dyDescent="0.25">
      <c r="A28">
        <v>22000625</v>
      </c>
      <c r="B28" t="s">
        <v>4</v>
      </c>
      <c r="C28" t="s">
        <v>65</v>
      </c>
      <c r="D28">
        <v>77</v>
      </c>
      <c r="E28">
        <v>87</v>
      </c>
      <c r="F28">
        <v>10</v>
      </c>
      <c r="G28">
        <v>4</v>
      </c>
      <c r="H28" s="1">
        <v>5.092592592592593E-3</v>
      </c>
      <c r="I28">
        <v>2020</v>
      </c>
      <c r="J28" t="s">
        <v>59</v>
      </c>
      <c r="K28" s="2" t="str">
        <f>HYPERLINK("https://www.nba.com/stats/events?CFID=&amp;CFPARAMS=&amp;GameEventID=536&amp;GameID=0022000625&amp;Season=2020-21&amp;flag=1&amp;title=I.%20Zubac%20cutting%20DUNK%20(12%20PTS)%20(K.%20Leonard%206%20AST)", "I. Zubac cutting DUNK (12 PTS) (K. Leonard 6 AST)")</f>
        <v>I. Zubac cutting DUNK (12 PTS) (K. Leonard 6 AST)</v>
      </c>
      <c r="L28" s="2" t="str">
        <f>HYPERLINK("https://www.nba.com/game/...-vs-...-0022000625/play-by-play?watchFullGame=true", "LAC vs DAL - Q4 07:20.00")</f>
        <v>LAC vs DAL - Q4 07:20.00</v>
      </c>
      <c r="M28">
        <v>1.1299999999999999</v>
      </c>
      <c r="N28">
        <v>5.21</v>
      </c>
      <c r="O28">
        <v>47.86</v>
      </c>
      <c r="P28">
        <v>11</v>
      </c>
      <c r="Q28">
        <v>-4</v>
      </c>
      <c r="R28">
        <v>5</v>
      </c>
      <c r="S28">
        <v>47</v>
      </c>
      <c r="T28" t="s">
        <v>73</v>
      </c>
    </row>
    <row r="29" spans="1:20" x14ac:dyDescent="0.25">
      <c r="A29">
        <v>22000675</v>
      </c>
      <c r="B29" t="s">
        <v>4</v>
      </c>
      <c r="C29" t="s">
        <v>65</v>
      </c>
      <c r="D29">
        <v>60</v>
      </c>
      <c r="E29">
        <v>48</v>
      </c>
      <c r="F29">
        <v>12</v>
      </c>
      <c r="G29">
        <v>2</v>
      </c>
      <c r="H29" s="1">
        <v>1.1458333333333333E-3</v>
      </c>
      <c r="I29">
        <v>2020</v>
      </c>
      <c r="J29" t="s">
        <v>59</v>
      </c>
      <c r="K29" s="2" t="str">
        <f>HYPERLINK("https://www.nba.com/stats/events?CFID=&amp;CFPARAMS=&amp;GameEventID=303&amp;GameID=0022000675&amp;Season=2020-21&amp;flag=1&amp;title=I.%20Zubac%20cutting%20DUNK%20(7%20PTS)%20(K.%20Leonard%201%20AST)", "I. Zubac cutting DUNK (7 PTS) (K. Leonard 1 AST)")</f>
        <v>I. Zubac cutting DUNK (7 PTS) (K. Leonard 1 AST)</v>
      </c>
      <c r="L29" s="2" t="str">
        <f>HYPERLINK("https://www.nba.com/game/...-vs-...-0022000675/play-by-play?watchFullGame=true", "LAC vs SAS - Q2 01:39.00")</f>
        <v>LAC vs SAS - Q2 01:39.00</v>
      </c>
      <c r="M29">
        <v>0.42</v>
      </c>
      <c r="N29">
        <v>5.86</v>
      </c>
      <c r="O29">
        <v>49.33</v>
      </c>
      <c r="P29">
        <v>3</v>
      </c>
      <c r="Q29">
        <v>3</v>
      </c>
      <c r="R29">
        <v>5</v>
      </c>
      <c r="S29">
        <v>49</v>
      </c>
      <c r="T29" t="s">
        <v>73</v>
      </c>
    </row>
    <row r="30" spans="1:20" x14ac:dyDescent="0.25">
      <c r="A30">
        <v>21900485</v>
      </c>
      <c r="B30" t="s">
        <v>4</v>
      </c>
      <c r="C30" t="s">
        <v>69</v>
      </c>
      <c r="D30">
        <v>15</v>
      </c>
      <c r="E30">
        <v>12</v>
      </c>
      <c r="F30">
        <v>3</v>
      </c>
      <c r="G30">
        <v>1</v>
      </c>
      <c r="H30" s="1">
        <v>4.7106481481481478E-3</v>
      </c>
      <c r="I30">
        <v>2019</v>
      </c>
      <c r="J30" t="s">
        <v>59</v>
      </c>
      <c r="K30" s="2" t="str">
        <f>HYPERLINK("https://www.nba.com/stats/events?CFID=&amp;CFPARAMS=&amp;GameEventID=57&amp;GameID=0021900485&amp;Season=2019-20&amp;flag=1&amp;title=I.%20Zubac%20layup%20(6%20PTS)%20(K.%20Leonard%201%20AST)", "I. Zubac layup (6 PTS) (K. Leonard 1 AST)")</f>
        <v>I. Zubac layup (6 PTS) (K. Leonard 1 AST)</v>
      </c>
      <c r="L30" s="2" t="str">
        <f>HYPERLINK("https://www.nba.com/game/...-vs-...-0021900485/play-by-play?watchFullGame=true", "LAC vs UTA - Q1 06:47.00")</f>
        <v>LAC vs UTA - Q1 06:47.00</v>
      </c>
      <c r="M30">
        <v>0.91</v>
      </c>
      <c r="N30">
        <v>5.83</v>
      </c>
      <c r="O30">
        <v>50.91</v>
      </c>
      <c r="P30">
        <v>-5</v>
      </c>
      <c r="Q30">
        <v>2</v>
      </c>
      <c r="R30">
        <v>5</v>
      </c>
      <c r="S30">
        <v>50</v>
      </c>
      <c r="T30" t="s">
        <v>73</v>
      </c>
    </row>
    <row r="31" spans="1:20" x14ac:dyDescent="0.25">
      <c r="A31">
        <v>41900153</v>
      </c>
      <c r="B31" t="s">
        <v>4</v>
      </c>
      <c r="C31" t="s">
        <v>69</v>
      </c>
      <c r="D31">
        <v>46</v>
      </c>
      <c r="E31">
        <v>39</v>
      </c>
      <c r="F31">
        <v>7</v>
      </c>
      <c r="G31">
        <v>2</v>
      </c>
      <c r="H31" s="1">
        <v>3.6111111111111109E-3</v>
      </c>
      <c r="I31" t="s">
        <v>68</v>
      </c>
      <c r="J31" t="s">
        <v>59</v>
      </c>
      <c r="K31" s="2" t="str">
        <f>HYPERLINK("https://www.nba.com/stats/events?CFID=&amp;CFPARAMS=&amp;GameEventID=250&amp;GameID=0041900153&amp;Season=2019-20&amp;flag=1&amp;title=I.%20Zubac%20layup%20(8%20PTS)%20(K.%20Leonard%202%20AST)", "I. Zubac layup (8 PTS) (K. Leonard 2 AST)")</f>
        <v>I. Zubac layup (8 PTS) (K. Leonard 2 AST)</v>
      </c>
      <c r="L31" s="2" t="str">
        <f>HYPERLINK("https://www.nba.com/game/...-vs-...-0041900153/play-by-play?watchFullGame=true", "LAC vs DAL - Q2 05:12.00")</f>
        <v>LAC vs DAL - Q2 05:12.00</v>
      </c>
      <c r="M31">
        <v>2.34</v>
      </c>
      <c r="N31">
        <v>5.73</v>
      </c>
      <c r="O31">
        <v>54.48</v>
      </c>
      <c r="P31">
        <v>-22</v>
      </c>
      <c r="Q31">
        <v>1</v>
      </c>
      <c r="R31">
        <v>5</v>
      </c>
      <c r="S31">
        <v>54</v>
      </c>
      <c r="T31" t="s">
        <v>73</v>
      </c>
    </row>
    <row r="32" spans="1:20" x14ac:dyDescent="0.25">
      <c r="A32">
        <v>22300982</v>
      </c>
      <c r="B32" t="s">
        <v>10</v>
      </c>
      <c r="C32" t="s">
        <v>9</v>
      </c>
      <c r="D32">
        <v>80</v>
      </c>
      <c r="E32">
        <v>98</v>
      </c>
      <c r="F32">
        <v>18</v>
      </c>
      <c r="G32">
        <v>4</v>
      </c>
      <c r="H32" s="1">
        <v>3.5069444444444445E-3</v>
      </c>
      <c r="I32">
        <v>2023</v>
      </c>
      <c r="J32" t="s">
        <v>59</v>
      </c>
      <c r="K32" s="2" t="str">
        <f>HYPERLINK("https://www.nba.com/stats/events?CFID=&amp;CFPARAMS=&amp;GameEventID=554&amp;GameID=0022300982&amp;Season=2023-24&amp;flag=1&amp;title=J.%20Harden%203PT%20%20(9%20PTS)%20(K.%20Leonard%202%20AST)", "J. Harden 3PT  (9 PTS) (K. Leonard 2 AST)")</f>
        <v>J. Harden 3PT  (9 PTS) (K. Leonard 2 AST)</v>
      </c>
      <c r="L32" s="2" t="str">
        <f>HYPERLINK("https://www.nba.com/game/...-vs-...-0022300982/play-by-play?watchFullGame=true", "LAC vs ATL - Q4 05:03.00")</f>
        <v>LAC vs ATL - Q4 05:03.00</v>
      </c>
      <c r="M32">
        <v>22.44</v>
      </c>
      <c r="N32">
        <v>5.04</v>
      </c>
      <c r="O32">
        <v>94.85</v>
      </c>
      <c r="P32">
        <v>-224</v>
      </c>
      <c r="Q32">
        <v>-5</v>
      </c>
      <c r="R32">
        <v>5</v>
      </c>
      <c r="S32">
        <v>94</v>
      </c>
      <c r="T32" t="s">
        <v>73</v>
      </c>
    </row>
    <row r="33" spans="1:20" x14ac:dyDescent="0.25">
      <c r="A33">
        <v>22000675</v>
      </c>
      <c r="B33" t="s">
        <v>4</v>
      </c>
      <c r="C33" t="s">
        <v>64</v>
      </c>
      <c r="D33">
        <v>62</v>
      </c>
      <c r="E33">
        <v>53</v>
      </c>
      <c r="F33">
        <v>9</v>
      </c>
      <c r="G33">
        <v>2</v>
      </c>
      <c r="H33" s="1">
        <v>4.8726851851851855E-4</v>
      </c>
      <c r="I33">
        <v>2020</v>
      </c>
      <c r="J33" t="s">
        <v>59</v>
      </c>
      <c r="K33" s="2" t="str">
        <f>HYPERLINK("https://www.nba.com/stats/events?CFID=&amp;CFPARAMS=&amp;GameEventID=315&amp;GameID=0022000675&amp;Season=2020-21&amp;flag=1&amp;title=T.%20Mann%20driving%20reverse%20Layup%20(2%20PTS)%20(K.%20Leonard%202%20AST)", "T. Mann driving reverse Layup (2 PTS) (K. Leonard 2 AST)")</f>
        <v>T. Mann driving reverse Layup (2 PTS) (K. Leonard 2 AST)</v>
      </c>
      <c r="L33" s="2" t="str">
        <f>HYPERLINK("https://www.nba.com/game/...-vs-...-0022000675/play-by-play?watchFullGame=true", "LAC vs SAS - Q2 00:42.10")</f>
        <v>LAC vs SAS - Q2 00:42.10</v>
      </c>
      <c r="M33">
        <v>0.31</v>
      </c>
      <c r="N33">
        <v>5.73</v>
      </c>
      <c r="O33">
        <v>50.56</v>
      </c>
      <c r="P33">
        <v>-3</v>
      </c>
      <c r="Q33">
        <v>1</v>
      </c>
      <c r="R33">
        <v>5</v>
      </c>
      <c r="S33">
        <v>50</v>
      </c>
      <c r="T33" t="s">
        <v>73</v>
      </c>
    </row>
    <row r="34" spans="1:20" x14ac:dyDescent="0.25">
      <c r="A34">
        <v>22000701</v>
      </c>
      <c r="B34" t="s">
        <v>10</v>
      </c>
      <c r="C34" t="s">
        <v>9</v>
      </c>
      <c r="D34">
        <v>18</v>
      </c>
      <c r="E34">
        <v>21</v>
      </c>
      <c r="F34">
        <v>3</v>
      </c>
      <c r="G34">
        <v>1</v>
      </c>
      <c r="H34" s="1">
        <v>2.7546296296296294E-3</v>
      </c>
      <c r="I34">
        <v>2020</v>
      </c>
      <c r="J34" t="s">
        <v>59</v>
      </c>
      <c r="K34" s="2" t="str">
        <f>HYPERLINK("https://www.nba.com/stats/events?CFID=&amp;CFPARAMS=&amp;GameEventID=96&amp;GameID=0022000701&amp;Season=2020-21&amp;flag=1&amp;title=R.%20Jackson%203PT%20%20(5%20PTS)%20(K.%20Leonard%201%20AST)", "R. Jackson 3PT  (5 PTS) (K. Leonard 1 AST)")</f>
        <v>R. Jackson 3PT  (5 PTS) (K. Leonard 1 AST)</v>
      </c>
      <c r="L34" s="2" t="str">
        <f>HYPERLINK("https://www.nba.com/game/...-vs-...-0022000701/play-by-play?watchFullGame=true", "LAC vs PHI - Q1 03:58.00")</f>
        <v>LAC vs PHI - Q1 03:58.00</v>
      </c>
      <c r="M34">
        <v>22.95</v>
      </c>
      <c r="N34">
        <v>5.57</v>
      </c>
      <c r="O34">
        <v>4.0999999999999996</v>
      </c>
      <c r="P34">
        <v>230</v>
      </c>
      <c r="Q34">
        <v>4</v>
      </c>
      <c r="R34">
        <v>5</v>
      </c>
      <c r="S34">
        <v>4</v>
      </c>
      <c r="T34" t="s">
        <v>73</v>
      </c>
    </row>
    <row r="35" spans="1:20" x14ac:dyDescent="0.25">
      <c r="A35">
        <v>22300716</v>
      </c>
      <c r="B35" t="s">
        <v>4</v>
      </c>
      <c r="C35" t="s">
        <v>65</v>
      </c>
      <c r="D35">
        <v>116</v>
      </c>
      <c r="E35">
        <v>113</v>
      </c>
      <c r="F35">
        <v>3</v>
      </c>
      <c r="G35">
        <v>4</v>
      </c>
      <c r="H35" s="1">
        <v>5.0347222222222225E-3</v>
      </c>
      <c r="I35">
        <v>2023</v>
      </c>
      <c r="J35" t="s">
        <v>59</v>
      </c>
      <c r="K35" s="2" t="str">
        <f>HYPERLINK("https://www.nba.com/stats/events?CFID=&amp;CFPARAMS=&amp;GameEventID=552&amp;GameID=0022300716&amp;Season=2023-24&amp;flag=1&amp;title=R.%20Westbrook%20driving%20DUNK%20(10%20PTS)%20(K.%20Leonard%203%20AST)", "R. Westbrook driving DUNK (10 PTS) (K. Leonard 3 AST)")</f>
        <v>R. Westbrook driving DUNK (10 PTS) (K. Leonard 3 AST)</v>
      </c>
      <c r="L35" s="2" t="str">
        <f>HYPERLINK("https://www.nba.com/game/...-vs-...-0022300716/play-by-play?watchFullGame=true", "LAC vs ATL - Q4 07:15.00")</f>
        <v>LAC vs ATL - Q4 07:15.00</v>
      </c>
      <c r="M35">
        <v>0.25</v>
      </c>
      <c r="N35">
        <v>5.6</v>
      </c>
      <c r="O35">
        <v>50.49</v>
      </c>
      <c r="P35">
        <v>-2</v>
      </c>
      <c r="Q35">
        <v>50</v>
      </c>
      <c r="R35">
        <v>5</v>
      </c>
      <c r="S35">
        <v>50</v>
      </c>
      <c r="T35" t="s">
        <v>73</v>
      </c>
    </row>
    <row r="36" spans="1:20" x14ac:dyDescent="0.25">
      <c r="A36">
        <v>21900145</v>
      </c>
      <c r="B36" t="s">
        <v>4</v>
      </c>
      <c r="C36" t="s">
        <v>63</v>
      </c>
      <c r="D36">
        <v>94</v>
      </c>
      <c r="E36">
        <v>88</v>
      </c>
      <c r="F36">
        <v>6</v>
      </c>
      <c r="G36">
        <v>4</v>
      </c>
      <c r="H36" s="1">
        <v>6.7245370370370375E-4</v>
      </c>
      <c r="I36">
        <v>2019</v>
      </c>
      <c r="J36" t="s">
        <v>59</v>
      </c>
      <c r="K36" s="2" t="str">
        <f>HYPERLINK("https://www.nba.com/stats/events?CFID=&amp;CFPARAMS=&amp;GameEventID=653&amp;GameID=0021900145&amp;Season=2019-20&amp;flag=1&amp;title=[LAC]%20Harrell%20dunk:%20Made%20(14%20PTS)%20assist:%20Leonard%20(9%20AST)", "[LAC] Harrell dunk: Made (14 PTS) assist: Leonard (9 AST)")</f>
        <v>[LAC] Harrell dunk: Made (14 PTS) assist: Leonard (9 AST)</v>
      </c>
      <c r="L36" s="2" t="str">
        <f>HYPERLINK("https://www.nba.com/game/...-vs-...-0021900145/play-by-play?watchFullGame=true", "LAC vs TOR - Q4 00:58.10")</f>
        <v>LAC vs TOR - Q4 00:58.10</v>
      </c>
      <c r="M36">
        <v>0.8</v>
      </c>
      <c r="N36">
        <v>5.7</v>
      </c>
      <c r="O36">
        <v>50.91</v>
      </c>
      <c r="P36">
        <v>-5</v>
      </c>
      <c r="Q36">
        <v>1</v>
      </c>
      <c r="R36">
        <v>5</v>
      </c>
      <c r="S36">
        <v>50</v>
      </c>
      <c r="T36" t="s">
        <v>73</v>
      </c>
    </row>
    <row r="37" spans="1:20" x14ac:dyDescent="0.25">
      <c r="A37">
        <v>21900276</v>
      </c>
      <c r="B37" t="s">
        <v>4</v>
      </c>
      <c r="C37" t="s">
        <v>63</v>
      </c>
      <c r="D37">
        <v>45</v>
      </c>
      <c r="E37">
        <v>42</v>
      </c>
      <c r="F37">
        <v>3</v>
      </c>
      <c r="G37">
        <v>2</v>
      </c>
      <c r="H37" s="1">
        <v>4.3055555555555555E-3</v>
      </c>
      <c r="I37">
        <v>2019</v>
      </c>
      <c r="J37" t="s">
        <v>59</v>
      </c>
      <c r="K37" s="2" t="str">
        <f>HYPERLINK("https://www.nba.com/stats/events?CFID=&amp;CFPARAMS=&amp;GameEventID=227&amp;GameID=0021900276&amp;Season=2019-20&amp;flag=1&amp;title=M.%20Harrell%20dunk%20(10%20PTS)%20(K.%20Leonard%204%20AST)", "M. Harrell dunk (10 PTS) (K. Leonard 4 AST)")</f>
        <v>M. Harrell dunk (10 PTS) (K. Leonard 4 AST)</v>
      </c>
      <c r="L37" s="2" t="str">
        <f>HYPERLINK("https://www.nba.com/game/...-vs-...-0021900276/play-by-play?watchFullGame=true", "LAC vs SAS - Q2 06:12.00")</f>
        <v>LAC vs SAS - Q2 06:12.00</v>
      </c>
      <c r="M37">
        <v>0.44</v>
      </c>
      <c r="N37">
        <v>5.21</v>
      </c>
      <c r="O37">
        <v>50.8</v>
      </c>
      <c r="P37">
        <v>-4</v>
      </c>
      <c r="Q37">
        <v>-4</v>
      </c>
      <c r="R37">
        <v>5</v>
      </c>
      <c r="S37">
        <v>50</v>
      </c>
      <c r="T37" t="s">
        <v>73</v>
      </c>
    </row>
    <row r="38" spans="1:20" x14ac:dyDescent="0.25">
      <c r="A38">
        <v>21900589</v>
      </c>
      <c r="B38" t="s">
        <v>4</v>
      </c>
      <c r="C38" t="s">
        <v>63</v>
      </c>
      <c r="D38">
        <v>16</v>
      </c>
      <c r="E38">
        <v>9</v>
      </c>
      <c r="F38">
        <v>7</v>
      </c>
      <c r="G38">
        <v>1</v>
      </c>
      <c r="H38" s="1">
        <v>4.4907407407407405E-3</v>
      </c>
      <c r="I38">
        <v>2019</v>
      </c>
      <c r="J38" t="s">
        <v>59</v>
      </c>
      <c r="K38" s="2" t="str">
        <f>HYPERLINK("https://www.nba.com/stats/events?CFID=&amp;CFPARAMS=&amp;GameEventID=64&amp;GameID=0021900589&amp;Season=2019-20&amp;flag=1&amp;title=I.%20Zubac%20dunk%20(6%20PTS)%20(K.%20Leonard%203%20AST)", "I. Zubac dunk (6 PTS) (K. Leonard 3 AST)")</f>
        <v>I. Zubac dunk (6 PTS) (K. Leonard 3 AST)</v>
      </c>
      <c r="L38" s="2" t="str">
        <f>HYPERLINK("https://www.nba.com/game/...-vs-...-0021900589/play-by-play?watchFullGame=true", "LAC vs DEN - Q1 06:28.00")</f>
        <v>LAC vs DEN - Q1 06:28.00</v>
      </c>
      <c r="M38">
        <v>0.49</v>
      </c>
      <c r="N38">
        <v>5.47</v>
      </c>
      <c r="O38">
        <v>49.58</v>
      </c>
      <c r="P38">
        <v>2</v>
      </c>
      <c r="Q38">
        <v>-1</v>
      </c>
      <c r="R38">
        <v>5</v>
      </c>
      <c r="S38">
        <v>49</v>
      </c>
      <c r="T38" t="s">
        <v>73</v>
      </c>
    </row>
    <row r="39" spans="1:20" x14ac:dyDescent="0.25">
      <c r="A39">
        <v>22200795</v>
      </c>
      <c r="B39" t="s">
        <v>4</v>
      </c>
      <c r="C39" t="s">
        <v>64</v>
      </c>
      <c r="D39">
        <v>65</v>
      </c>
      <c r="E39">
        <v>58</v>
      </c>
      <c r="F39">
        <v>7</v>
      </c>
      <c r="G39">
        <v>3</v>
      </c>
      <c r="H39" s="1">
        <v>7.9745370370370369E-3</v>
      </c>
      <c r="I39">
        <v>2022</v>
      </c>
      <c r="J39" t="s">
        <v>59</v>
      </c>
      <c r="K39" s="2" t="str">
        <f>HYPERLINK("https://www.nba.com/stats/events?CFID=&amp;CFPARAMS=&amp;GameEventID=308&amp;GameID=0022200795&amp;Season=2022-23&amp;flag=1&amp;title=T.%20Mann%20cutting%20Layup%20(7%20PTS)%20(K.%20Leonard%201%20AST)", "T. Mann cutting Layup (7 PTS) (K. Leonard 1 AST)")</f>
        <v>T. Mann cutting Layup (7 PTS) (K. Leonard 1 AST)</v>
      </c>
      <c r="L39" s="2" t="str">
        <f>HYPERLINK("https://www.nba.com/game/...-vs-...-0022200795/play-by-play?watchFullGame=true", "LAC vs NYK - Q3 11:29.00")</f>
        <v>LAC vs NYK - Q3 11:29.00</v>
      </c>
      <c r="M39">
        <v>0.28999999999999998</v>
      </c>
      <c r="N39">
        <v>5.86</v>
      </c>
      <c r="O39">
        <v>50.25</v>
      </c>
      <c r="P39">
        <v>-1</v>
      </c>
      <c r="Q39">
        <v>3</v>
      </c>
      <c r="R39">
        <v>5</v>
      </c>
      <c r="S39">
        <v>50</v>
      </c>
      <c r="T39" t="s">
        <v>73</v>
      </c>
    </row>
    <row r="40" spans="1:20" x14ac:dyDescent="0.25">
      <c r="A40">
        <v>22200423</v>
      </c>
      <c r="B40" t="s">
        <v>4</v>
      </c>
      <c r="C40" t="s">
        <v>64</v>
      </c>
      <c r="D40">
        <v>45</v>
      </c>
      <c r="E40">
        <v>48</v>
      </c>
      <c r="F40">
        <v>3</v>
      </c>
      <c r="G40">
        <v>3</v>
      </c>
      <c r="H40" s="1">
        <v>5.9027777777777776E-3</v>
      </c>
      <c r="I40">
        <v>2022</v>
      </c>
      <c r="J40" t="s">
        <v>59</v>
      </c>
      <c r="K40" s="2" t="str">
        <f>HYPERLINK("https://www.nba.com/stats/events?CFID=&amp;CFPARAMS=&amp;GameEventID=356&amp;GameID=0022200423&amp;Season=2022-23&amp;flag=1&amp;title=P.%20George%20running%20Layup%20(12%20PTS)%20(K.%20Leonard%201%20AST)", "P. George running Layup (12 PTS) (K. Leonard 1 AST)")</f>
        <v>P. George running Layup (12 PTS) (K. Leonard 1 AST)</v>
      </c>
      <c r="L40" s="2" t="str">
        <f>HYPERLINK("https://www.nba.com/game/...-vs-...-0022200423/play-by-play?watchFullGame=true", "LAC vs MIN - Q3 08:30.00")</f>
        <v>LAC vs MIN - Q3 08:30.00</v>
      </c>
      <c r="M40">
        <v>1.51</v>
      </c>
      <c r="N40">
        <v>5.96</v>
      </c>
      <c r="O40">
        <v>52.94</v>
      </c>
      <c r="P40">
        <v>-15</v>
      </c>
      <c r="Q40">
        <v>4</v>
      </c>
      <c r="R40">
        <v>5</v>
      </c>
      <c r="S40">
        <v>52</v>
      </c>
      <c r="T40" t="s">
        <v>73</v>
      </c>
    </row>
    <row r="41" spans="1:20" x14ac:dyDescent="0.25">
      <c r="A41">
        <v>22200687</v>
      </c>
      <c r="B41" t="s">
        <v>4</v>
      </c>
      <c r="C41" t="s">
        <v>64</v>
      </c>
      <c r="D41">
        <v>71</v>
      </c>
      <c r="E41">
        <v>78</v>
      </c>
      <c r="F41">
        <v>7</v>
      </c>
      <c r="G41">
        <v>3</v>
      </c>
      <c r="H41" s="1">
        <v>6.8634259259259256E-3</v>
      </c>
      <c r="I41">
        <v>2022</v>
      </c>
      <c r="J41" t="s">
        <v>59</v>
      </c>
      <c r="K41" s="2" t="str">
        <f>HYPERLINK("https://www.nba.com/stats/events?CFID=&amp;CFPARAMS=&amp;GameEventID=307&amp;GameID=0022200687&amp;Season=2022-23&amp;flag=1&amp;title=P.%20George%20driving%20Layup%20(9%20PTS)%20(K.%20Leonard%205%20AST)", "P. George driving Layup (9 PTS) (K. Leonard 5 AST)")</f>
        <v>P. George driving Layup (9 PTS) (K. Leonard 5 AST)</v>
      </c>
      <c r="L41" s="2" t="str">
        <f>HYPERLINK("https://www.nba.com/game/...-vs-...-0022200687/play-by-play?watchFullGame=true", "LAC vs SAS - Q3 09:53.00")</f>
        <v>LAC vs SAS - Q3 09:53.00</v>
      </c>
      <c r="M41">
        <v>4.43</v>
      </c>
      <c r="N41">
        <v>6</v>
      </c>
      <c r="O41">
        <v>41.18</v>
      </c>
      <c r="P41">
        <v>44</v>
      </c>
      <c r="Q41">
        <v>4</v>
      </c>
      <c r="R41">
        <v>5</v>
      </c>
      <c r="S41">
        <v>41</v>
      </c>
      <c r="T41" t="s">
        <v>73</v>
      </c>
    </row>
    <row r="42" spans="1:20" x14ac:dyDescent="0.25">
      <c r="A42">
        <v>22200766</v>
      </c>
      <c r="B42" t="s">
        <v>10</v>
      </c>
      <c r="C42" t="s">
        <v>9</v>
      </c>
      <c r="D42">
        <v>48</v>
      </c>
      <c r="E42">
        <v>50</v>
      </c>
      <c r="F42">
        <v>2</v>
      </c>
      <c r="G42">
        <v>2</v>
      </c>
      <c r="H42" s="1">
        <v>1.8749999999999999E-3</v>
      </c>
      <c r="I42">
        <v>2022</v>
      </c>
      <c r="J42" t="s">
        <v>59</v>
      </c>
      <c r="K42" s="2" t="str">
        <f>HYPERLINK("https://www.nba.com/stats/events?CFID=&amp;CFPARAMS=&amp;GameEventID=255&amp;GameID=0022200766&amp;Season=2022-23&amp;flag=1&amp;title=N.%20Powell%203PT%20%20(18%20PTS)%20(K.%20Leonard%203%20AST)", "N. Powell 3PT  (18 PTS) (K. Leonard 3 AST)")</f>
        <v>N. Powell 3PT  (18 PTS) (K. Leonard 3 AST)</v>
      </c>
      <c r="L42" s="2" t="str">
        <f>HYPERLINK("https://www.nba.com/game/...-vs-...-0022200766/play-by-play?watchFullGame=true", "LAC vs CHI - Q2 02:42.00")</f>
        <v>LAC vs CHI - Q2 02:42.00</v>
      </c>
      <c r="M42">
        <v>22.43</v>
      </c>
      <c r="N42">
        <v>5.86</v>
      </c>
      <c r="O42">
        <v>94.85</v>
      </c>
      <c r="P42">
        <v>-224</v>
      </c>
      <c r="Q42">
        <v>3</v>
      </c>
      <c r="R42">
        <v>5</v>
      </c>
      <c r="S42">
        <v>94</v>
      </c>
      <c r="T42" t="s">
        <v>73</v>
      </c>
    </row>
    <row r="43" spans="1:20" x14ac:dyDescent="0.25">
      <c r="A43">
        <v>22200766</v>
      </c>
      <c r="B43" t="s">
        <v>10</v>
      </c>
      <c r="C43" t="s">
        <v>9</v>
      </c>
      <c r="D43">
        <v>12</v>
      </c>
      <c r="E43">
        <v>21</v>
      </c>
      <c r="F43">
        <v>9</v>
      </c>
      <c r="G43">
        <v>1</v>
      </c>
      <c r="H43" s="1">
        <v>3.5416666666666665E-3</v>
      </c>
      <c r="I43">
        <v>2022</v>
      </c>
      <c r="J43" t="s">
        <v>59</v>
      </c>
      <c r="K43" s="2" t="str">
        <f>HYPERLINK("https://www.nba.com/stats/events?CFID=&amp;CFPARAMS=&amp;GameEventID=68&amp;GameID=0022200766&amp;Season=2022-23&amp;flag=1&amp;title=P.%20George%203PT%20%20(7%20PTS)%20(K.%20Leonard%201%20AST)", "P. George 3PT  (7 PTS) (K. Leonard 1 AST)")</f>
        <v>P. George 3PT  (7 PTS) (K. Leonard 1 AST)</v>
      </c>
      <c r="L43" s="2" t="str">
        <f>HYPERLINK("https://www.nba.com/game/...-vs-...-0022200766/play-by-play?watchFullGame=true", "LAC vs CHI - Q1 05:06.00")</f>
        <v>LAC vs CHI - Q1 05:06.00</v>
      </c>
      <c r="M43">
        <v>23.41</v>
      </c>
      <c r="N43">
        <v>5.34</v>
      </c>
      <c r="O43">
        <v>3.19</v>
      </c>
      <c r="P43">
        <v>234</v>
      </c>
      <c r="Q43">
        <v>-2</v>
      </c>
      <c r="R43">
        <v>5</v>
      </c>
      <c r="S43">
        <v>3</v>
      </c>
      <c r="T43" t="s">
        <v>73</v>
      </c>
    </row>
    <row r="44" spans="1:20" x14ac:dyDescent="0.25">
      <c r="A44">
        <v>22001047</v>
      </c>
      <c r="B44" t="s">
        <v>4</v>
      </c>
      <c r="C44" t="s">
        <v>65</v>
      </c>
      <c r="D44">
        <v>2</v>
      </c>
      <c r="E44">
        <v>6</v>
      </c>
      <c r="F44">
        <v>4</v>
      </c>
      <c r="G44">
        <v>1</v>
      </c>
      <c r="H44" s="1">
        <v>6.6666666666666671E-3</v>
      </c>
      <c r="I44">
        <v>2020</v>
      </c>
      <c r="J44" t="s">
        <v>59</v>
      </c>
      <c r="K44" s="2" t="str">
        <f>HYPERLINK("https://www.nba.com/stats/events?CFID=&amp;CFPARAMS=&amp;GameEventID=28&amp;GameID=0022001047&amp;Season=2020-21&amp;flag=1&amp;title=I.%20Zubac%20DUNK%20(2%20PTS)%20(K.%20Leonard%201%20AST)", "I. Zubac DUNK (2 PTS) (K. Leonard 1 AST)")</f>
        <v>I. Zubac DUNK (2 PTS) (K. Leonard 1 AST)</v>
      </c>
      <c r="L44" s="2" t="str">
        <f>HYPERLINK("https://www.nba.com/game/...-vs-...-0022001047/play-by-play?watchFullGame=true", "LAC vs CHA - Q1 09:36.00")</f>
        <v>LAC vs CHA - Q1 09:36.00</v>
      </c>
      <c r="M44">
        <v>0.57999999999999996</v>
      </c>
      <c r="N44">
        <v>5.86</v>
      </c>
      <c r="O44">
        <v>51.05</v>
      </c>
      <c r="P44">
        <v>-5</v>
      </c>
      <c r="Q44">
        <v>3</v>
      </c>
      <c r="R44">
        <v>5</v>
      </c>
      <c r="S44">
        <v>51</v>
      </c>
      <c r="T44" t="s">
        <v>73</v>
      </c>
    </row>
    <row r="45" spans="1:20" x14ac:dyDescent="0.25">
      <c r="A45">
        <v>22300618</v>
      </c>
      <c r="B45" t="s">
        <v>4</v>
      </c>
      <c r="C45" t="s">
        <v>64</v>
      </c>
      <c r="D45">
        <v>115</v>
      </c>
      <c r="E45">
        <v>108</v>
      </c>
      <c r="F45">
        <v>7</v>
      </c>
      <c r="G45">
        <v>4</v>
      </c>
      <c r="H45" s="1">
        <v>4.3287037037037035E-3</v>
      </c>
      <c r="I45">
        <v>2023</v>
      </c>
      <c r="J45" t="s">
        <v>59</v>
      </c>
      <c r="K45" s="2" t="str">
        <f>HYPERLINK("https://www.nba.com/stats/events?CFID=&amp;CFPARAMS=&amp;GameEventID=553&amp;GameID=0022300618&amp;Season=2023-24&amp;flag=1&amp;title=P.%20George%20running%20Layup%20(17%20PTS)%20(K.%20Leonard%208%20AST)", "P. George running Layup (17 PTS) (K. Leonard 8 AST)")</f>
        <v>P. George running Layup (17 PTS) (K. Leonard 8 AST)</v>
      </c>
      <c r="L45" s="2" t="str">
        <f>HYPERLINK("https://www.nba.com/game/...-vs-...-0022300618/play-by-play?watchFullGame=true", "LAC vs LAL - Q4 06:14.00")</f>
        <v>LAC vs LAL - Q4 06:14.00</v>
      </c>
      <c r="M45">
        <v>0.18</v>
      </c>
      <c r="N45">
        <v>5.44</v>
      </c>
      <c r="O45">
        <v>49.75</v>
      </c>
      <c r="P45">
        <v>1</v>
      </c>
      <c r="Q45">
        <v>-1</v>
      </c>
      <c r="R45">
        <v>5</v>
      </c>
      <c r="S45">
        <v>49</v>
      </c>
      <c r="T45" t="s">
        <v>73</v>
      </c>
    </row>
    <row r="46" spans="1:20" x14ac:dyDescent="0.25">
      <c r="A46">
        <v>22300264</v>
      </c>
      <c r="B46" t="s">
        <v>4</v>
      </c>
      <c r="C46" t="s">
        <v>64</v>
      </c>
      <c r="D46">
        <v>65</v>
      </c>
      <c r="E46">
        <v>50</v>
      </c>
      <c r="F46">
        <v>15</v>
      </c>
      <c r="G46">
        <v>2</v>
      </c>
      <c r="H46" s="1">
        <v>1.5046296296296296E-3</v>
      </c>
      <c r="I46">
        <v>2023</v>
      </c>
      <c r="J46" t="s">
        <v>59</v>
      </c>
      <c r="K46" s="2" t="str">
        <f>HYPERLINK("https://www.nba.com/stats/events?CFID=&amp;CFPARAMS=&amp;GameEventID=334&amp;GameID=0022300264&amp;Season=2023-24&amp;flag=1&amp;title=T.%20Mann%20running%20Layup%20(5%20PTS)%20(K.%20Leonard%202%20AST)", "T. Mann running Layup (5 PTS) (K. Leonard 2 AST)")</f>
        <v>T. Mann running Layup (5 PTS) (K. Leonard 2 AST)</v>
      </c>
      <c r="L46" s="2" t="str">
        <f>HYPERLINK("https://www.nba.com/game/...-vs-...-0022300264/play-by-play?watchFullGame=true", "LAC vs SAC - Q2 02:10.00")</f>
        <v>LAC vs SAC - Q2 02:10.00</v>
      </c>
      <c r="M46">
        <v>0.63</v>
      </c>
      <c r="N46">
        <v>5.73</v>
      </c>
      <c r="O46">
        <v>51.23</v>
      </c>
      <c r="P46">
        <v>-6</v>
      </c>
      <c r="Q46">
        <v>1</v>
      </c>
      <c r="R46">
        <v>5</v>
      </c>
      <c r="S46">
        <v>51</v>
      </c>
      <c r="T46" t="s">
        <v>73</v>
      </c>
    </row>
    <row r="47" spans="1:20" x14ac:dyDescent="0.25">
      <c r="A47">
        <v>22201162</v>
      </c>
      <c r="B47" t="s">
        <v>4</v>
      </c>
      <c r="C47" t="s">
        <v>64</v>
      </c>
      <c r="D47">
        <v>75</v>
      </c>
      <c r="E47">
        <v>70</v>
      </c>
      <c r="F47">
        <v>5</v>
      </c>
      <c r="G47">
        <v>3</v>
      </c>
      <c r="H47" s="1">
        <v>4.2361111111111115E-3</v>
      </c>
      <c r="I47">
        <v>2022</v>
      </c>
      <c r="J47" t="s">
        <v>59</v>
      </c>
      <c r="K47" s="2" t="str">
        <f>HYPERLINK("https://www.nba.com/stats/events?CFID=&amp;CFPARAMS=&amp;GameEventID=405&amp;GameID=0022201162&amp;Season=2022-23&amp;flag=1&amp;title=N.%20Powell%20driving%20reverse%20Layup%20(8%20PTS)%20(K.%20Leonard%204%20AST)", "N. Powell driving reverse Layup (8 PTS) (K. Leonard 4 AST)")</f>
        <v>N. Powell driving reverse Layup (8 PTS) (K. Leonard 4 AST)</v>
      </c>
      <c r="L47" s="2" t="str">
        <f>HYPERLINK("https://www.nba.com/game/...-vs-...-0022201162/play-by-play?watchFullGame=true", "LAC vs NOP - Q3 06:06.00")</f>
        <v>LAC vs NOP - Q3 06:06.00</v>
      </c>
      <c r="M47">
        <v>1.85</v>
      </c>
      <c r="N47">
        <v>5.73</v>
      </c>
      <c r="O47">
        <v>53.68</v>
      </c>
      <c r="P47">
        <v>-18</v>
      </c>
      <c r="Q47">
        <v>1</v>
      </c>
      <c r="R47">
        <v>5</v>
      </c>
      <c r="S47">
        <v>53</v>
      </c>
      <c r="T47" t="s">
        <v>73</v>
      </c>
    </row>
    <row r="48" spans="1:20" x14ac:dyDescent="0.25">
      <c r="A48">
        <v>41900154</v>
      </c>
      <c r="B48" t="s">
        <v>4</v>
      </c>
      <c r="C48" t="s">
        <v>69</v>
      </c>
      <c r="D48">
        <v>8</v>
      </c>
      <c r="E48">
        <v>5</v>
      </c>
      <c r="F48">
        <v>3</v>
      </c>
      <c r="G48">
        <v>1</v>
      </c>
      <c r="H48" s="1">
        <v>5.7291666666666663E-3</v>
      </c>
      <c r="I48" t="s">
        <v>68</v>
      </c>
      <c r="J48" t="s">
        <v>59</v>
      </c>
      <c r="K48" s="2" t="str">
        <f>HYPERLINK("https://www.nba.com/stats/events?CFID=&amp;CFPARAMS=&amp;GameEventID=45&amp;GameID=0041900154&amp;Season=2019-20&amp;flag=1&amp;title=L.%20Shamet%20layup%20(2%20PTS)%20(K.%20Leonard%201%20AST)", "L. Shamet layup (2 PTS) (K. Leonard 1 AST)")</f>
        <v>L. Shamet layup (2 PTS) (K. Leonard 1 AST)</v>
      </c>
      <c r="L48" s="2" t="str">
        <f>HYPERLINK("https://www.nba.com/game/...-vs-...-0041900154/play-by-play?watchFullGame=true", "LAC vs DAL - Q1 08:15.00")</f>
        <v>LAC vs DAL - Q1 08:15.00</v>
      </c>
      <c r="M48">
        <v>2.39</v>
      </c>
      <c r="N48">
        <v>5.73</v>
      </c>
      <c r="O48">
        <v>45.41</v>
      </c>
      <c r="P48">
        <v>23</v>
      </c>
      <c r="Q48">
        <v>1</v>
      </c>
      <c r="R48">
        <v>5</v>
      </c>
      <c r="S48">
        <v>45</v>
      </c>
      <c r="T48" t="s">
        <v>73</v>
      </c>
    </row>
    <row r="49" spans="1:20" x14ac:dyDescent="0.25">
      <c r="A49">
        <v>42000177</v>
      </c>
      <c r="B49" t="s">
        <v>10</v>
      </c>
      <c r="C49" t="s">
        <v>9</v>
      </c>
      <c r="D49">
        <v>120</v>
      </c>
      <c r="E49">
        <v>107</v>
      </c>
      <c r="F49">
        <v>13</v>
      </c>
      <c r="G49">
        <v>4</v>
      </c>
      <c r="H49" s="1">
        <v>8.7962962962962962E-4</v>
      </c>
      <c r="I49" t="s">
        <v>66</v>
      </c>
      <c r="J49" t="s">
        <v>59</v>
      </c>
      <c r="K49" s="2" t="str">
        <f>HYPERLINK("https://www.nba.com/stats/events?CFID=&amp;CFPARAMS=&amp;GameEventID=594&amp;GameID=0042000177&amp;Season=2020-21&amp;flag=1&amp;title=M.%20Morris%20Sr.%203PT%20%20(23%20PTS)%20(K.%20Leonard%209%20AST)", "M. Morris Sr. 3PT  (23 PTS) (K. Leonard 9 AST)")</f>
        <v>M. Morris Sr. 3PT  (23 PTS) (K. Leonard 9 AST)</v>
      </c>
      <c r="L49" s="2" t="str">
        <f>HYPERLINK("https://www.nba.com/game/...-vs-...-0042000177/play-by-play?watchFullGame=true", "LAC vs DAL - Q4 01:16.00")</f>
        <v>LAC vs DAL - Q4 01:16.00</v>
      </c>
      <c r="M49">
        <v>23.2</v>
      </c>
      <c r="N49">
        <v>5.21</v>
      </c>
      <c r="O49">
        <v>96.39</v>
      </c>
      <c r="P49">
        <v>5</v>
      </c>
      <c r="Q49">
        <v>96</v>
      </c>
      <c r="R49">
        <v>5</v>
      </c>
      <c r="S49">
        <v>96</v>
      </c>
      <c r="T49" t="s">
        <v>73</v>
      </c>
    </row>
    <row r="50" spans="1:20" x14ac:dyDescent="0.25">
      <c r="A50">
        <v>21901232</v>
      </c>
      <c r="B50" t="s">
        <v>4</v>
      </c>
      <c r="C50" t="s">
        <v>60</v>
      </c>
      <c r="D50">
        <v>52</v>
      </c>
      <c r="E50">
        <v>53</v>
      </c>
      <c r="F50">
        <v>1</v>
      </c>
      <c r="G50">
        <v>2</v>
      </c>
      <c r="H50" s="1">
        <v>9.4907407407407408E-4</v>
      </c>
      <c r="I50">
        <v>2019</v>
      </c>
      <c r="J50" t="s">
        <v>59</v>
      </c>
      <c r="K50" s="2" t="str">
        <f>HYPERLINK("https://www.nba.com/stats/events?CFID=&amp;CFPARAMS=&amp;GameEventID=361&amp;GameID=0021901232&amp;Season=2019-20&amp;flag=1&amp;title=P.%20Patterson%20hook%20(5%20PTS)%20(K.%20Leonard%201%20AST)", "P. Patterson hook (5 PTS) (K. Leonard 1 AST)")</f>
        <v>P. Patterson hook (5 PTS) (K. Leonard 1 AST)</v>
      </c>
      <c r="L50" s="2" t="str">
        <f>HYPERLINK("https://www.nba.com/game/...-vs-...-0021901232/play-by-play?watchFullGame=true", "LAC vs LAL - Q2 01:22.00")</f>
        <v>LAC vs LAL - Q2 01:22.00</v>
      </c>
      <c r="M50">
        <v>3.61</v>
      </c>
      <c r="N50">
        <v>5.86</v>
      </c>
      <c r="O50">
        <v>42.96</v>
      </c>
      <c r="P50">
        <v>35</v>
      </c>
      <c r="Q50">
        <v>3</v>
      </c>
      <c r="R50">
        <v>5</v>
      </c>
      <c r="S50">
        <v>42</v>
      </c>
      <c r="T50" t="s">
        <v>73</v>
      </c>
    </row>
    <row r="51" spans="1:20" x14ac:dyDescent="0.25">
      <c r="A51">
        <v>22000509</v>
      </c>
      <c r="B51" t="s">
        <v>10</v>
      </c>
      <c r="C51" t="s">
        <v>9</v>
      </c>
      <c r="D51">
        <v>110</v>
      </c>
      <c r="E51">
        <v>96</v>
      </c>
      <c r="F51">
        <v>14</v>
      </c>
      <c r="G51">
        <v>4</v>
      </c>
      <c r="H51" s="1">
        <v>1.5972222222222223E-3</v>
      </c>
      <c r="I51">
        <v>2020</v>
      </c>
      <c r="J51" t="s">
        <v>59</v>
      </c>
      <c r="K51" s="2" t="str">
        <f>HYPERLINK("https://www.nba.com/stats/events?CFID=&amp;CFPARAMS=&amp;GameEventID=614&amp;GameID=0022000509&amp;Season=2020-21&amp;flag=1&amp;title=N.%20Batum%203PT%20%20(11%20PTS)%20(K.%20Leonard%207%20AST)", "N. Batum 3PT  (11 PTS) (K. Leonard 7 AST)")</f>
        <v>N. Batum 3PT  (11 PTS) (K. Leonard 7 AST)</v>
      </c>
      <c r="L51" s="2" t="str">
        <f>HYPERLINK("https://www.nba.com/game/...-vs-...-0022000509/play-by-play?watchFullGame=true", "LAC vs MEM - Q4 02:18.00")</f>
        <v>LAC vs MEM - Q4 02:18.00</v>
      </c>
      <c r="M51">
        <v>22.89</v>
      </c>
      <c r="N51">
        <v>5.08</v>
      </c>
      <c r="O51">
        <v>4.24</v>
      </c>
      <c r="P51">
        <v>229</v>
      </c>
      <c r="Q51">
        <v>-5</v>
      </c>
      <c r="R51">
        <v>5</v>
      </c>
      <c r="S51">
        <v>4</v>
      </c>
      <c r="T51" t="s">
        <v>73</v>
      </c>
    </row>
    <row r="52" spans="1:20" x14ac:dyDescent="0.25">
      <c r="A52">
        <v>42000224</v>
      </c>
      <c r="B52" t="s">
        <v>10</v>
      </c>
      <c r="C52" t="s">
        <v>9</v>
      </c>
      <c r="D52">
        <v>68</v>
      </c>
      <c r="E52">
        <v>44</v>
      </c>
      <c r="F52">
        <v>24</v>
      </c>
      <c r="G52">
        <v>2</v>
      </c>
      <c r="H52" s="1">
        <v>1.1458333333333333E-4</v>
      </c>
      <c r="I52" t="s">
        <v>71</v>
      </c>
      <c r="J52" t="s">
        <v>59</v>
      </c>
      <c r="K52" s="2" t="str">
        <f>HYPERLINK("https://www.nba.com/stats/events?CFID=&amp;CFPARAMS=&amp;GameEventID=299&amp;GameID=0042000224&amp;Season=2020-21&amp;flag=1&amp;title=M.%20Morris%20Sr.%203PT%20%20(22%20PTS)%20(K.%20Leonard%202%20AST)", "M. Morris Sr. 3PT  (22 PTS) (K. Leonard 2 AST)")</f>
        <v>M. Morris Sr. 3PT  (22 PTS) (K. Leonard 2 AST)</v>
      </c>
      <c r="L52" s="2" t="str">
        <f>HYPERLINK("https://www.nba.com/game/...-vs-...-0042000224/play-by-play?watchFullGame=true", "LAC vs UTA - Q2 00:09.90")</f>
        <v>LAC vs UTA - Q2 00:09.90</v>
      </c>
      <c r="M52">
        <v>23.37</v>
      </c>
      <c r="N52">
        <v>5.44</v>
      </c>
      <c r="O52">
        <v>96.74</v>
      </c>
      <c r="P52">
        <v>5</v>
      </c>
      <c r="Q52">
        <v>96</v>
      </c>
      <c r="R52">
        <v>5</v>
      </c>
      <c r="S52">
        <v>96</v>
      </c>
      <c r="T52" t="s">
        <v>73</v>
      </c>
    </row>
    <row r="53" spans="1:20" x14ac:dyDescent="0.25">
      <c r="A53">
        <v>42000221</v>
      </c>
      <c r="B53" t="s">
        <v>4</v>
      </c>
      <c r="C53" t="s">
        <v>64</v>
      </c>
      <c r="D53">
        <v>32</v>
      </c>
      <c r="E53">
        <v>23</v>
      </c>
      <c r="F53">
        <v>9</v>
      </c>
      <c r="G53">
        <v>2</v>
      </c>
      <c r="H53" s="1">
        <v>6.7476851851851856E-3</v>
      </c>
      <c r="I53" t="s">
        <v>71</v>
      </c>
      <c r="J53" t="s">
        <v>59</v>
      </c>
      <c r="K53" s="2" t="str">
        <f>HYPERLINK("https://www.nba.com/stats/events?CFID=&amp;CFPARAMS=&amp;GameEventID=202&amp;GameID=0042000221&amp;Season=2020-21&amp;flag=1&amp;title=D.%20Cousins%20running%20Layup%20(2%20PTS)%20(K.%20Leonard%202%20AST)", "D. Cousins running Layup (2 PTS) (K. Leonard 2 AST)")</f>
        <v>D. Cousins running Layup (2 PTS) (K. Leonard 2 AST)</v>
      </c>
      <c r="L53" s="2" t="str">
        <f>HYPERLINK("https://www.nba.com/game/...-vs-...-0042000221/play-by-play?watchFullGame=true", "LAC vs UTA - Q2 09:43.00")</f>
        <v>LAC vs UTA - Q2 09:43.00</v>
      </c>
      <c r="M53">
        <v>1.75</v>
      </c>
      <c r="N53">
        <v>5.6</v>
      </c>
      <c r="O53">
        <v>53.5</v>
      </c>
      <c r="P53">
        <v>5</v>
      </c>
      <c r="Q53">
        <v>53</v>
      </c>
      <c r="R53">
        <v>5</v>
      </c>
      <c r="S53">
        <v>53</v>
      </c>
      <c r="T53" t="s">
        <v>73</v>
      </c>
    </row>
    <row r="54" spans="1:20" x14ac:dyDescent="0.25">
      <c r="A54">
        <v>41900237</v>
      </c>
      <c r="B54" t="s">
        <v>4</v>
      </c>
      <c r="C54" t="s">
        <v>69</v>
      </c>
      <c r="D54">
        <v>63</v>
      </c>
      <c r="E54">
        <v>64</v>
      </c>
      <c r="F54">
        <v>1</v>
      </c>
      <c r="G54">
        <v>3</v>
      </c>
      <c r="H54" s="1">
        <v>5.6249999999999998E-3</v>
      </c>
      <c r="I54" t="s">
        <v>62</v>
      </c>
      <c r="J54" t="s">
        <v>59</v>
      </c>
      <c r="K54" s="2" t="str">
        <f>HYPERLINK("https://www.nba.com/stats/events?CFID=&amp;CFPARAMS=&amp;GameEventID=357&amp;GameID=0041900237&amp;Season=2019-20&amp;flag=1&amp;title=I.%20Zubac%20layup%20(6%20PTS)%20(K.%20Leonard%204%20AST)", "I. Zubac layup (6 PTS) (K. Leonard 4 AST)")</f>
        <v>I. Zubac layup (6 PTS) (K. Leonard 4 AST)</v>
      </c>
      <c r="L54" s="2" t="str">
        <f>HYPERLINK("https://www.nba.com/game/...-vs-...-0041900237/play-by-play?watchFullGame=true", "LAC vs DEN - Q3 08:06.00")</f>
        <v>LAC vs DEN - Q3 08:06.00</v>
      </c>
      <c r="M54">
        <v>1</v>
      </c>
      <c r="N54">
        <v>5.86</v>
      </c>
      <c r="O54">
        <v>48.84</v>
      </c>
      <c r="P54">
        <v>6</v>
      </c>
      <c r="Q54">
        <v>3</v>
      </c>
      <c r="R54">
        <v>5</v>
      </c>
      <c r="S54">
        <v>48</v>
      </c>
      <c r="T54" t="s">
        <v>73</v>
      </c>
    </row>
    <row r="55" spans="1:20" x14ac:dyDescent="0.25">
      <c r="A55">
        <v>42000173</v>
      </c>
      <c r="B55" t="s">
        <v>10</v>
      </c>
      <c r="C55" t="s">
        <v>9</v>
      </c>
      <c r="D55">
        <v>112</v>
      </c>
      <c r="E55">
        <v>100</v>
      </c>
      <c r="F55">
        <v>12</v>
      </c>
      <c r="G55">
        <v>4</v>
      </c>
      <c r="H55" s="1">
        <v>2.4652777777777776E-3</v>
      </c>
      <c r="I55" t="s">
        <v>66</v>
      </c>
      <c r="J55" t="s">
        <v>59</v>
      </c>
      <c r="K55" s="2" t="str">
        <f>HYPERLINK("https://www.nba.com/stats/events?CFID=&amp;CFPARAMS=&amp;GameEventID=537&amp;GameID=0042000173&amp;Season=2020-21&amp;flag=1&amp;title=M.%20Morris%20Sr.%203PT%20%20(15%20PTS)%20(K.%20Leonard%203%20AST)", "M. Morris Sr. 3PT  (15 PTS) (K. Leonard 3 AST)")</f>
        <v>M. Morris Sr. 3PT  (15 PTS) (K. Leonard 3 AST)</v>
      </c>
      <c r="L55" s="2" t="str">
        <f>HYPERLINK("https://www.nba.com/game/...-vs-...-0042000173/play-by-play?watchFullGame=true", "LAC vs DAL - Q4 03:33.00")</f>
        <v>LAC vs DAL - Q4 03:33.00</v>
      </c>
      <c r="M55">
        <v>23.44</v>
      </c>
      <c r="N55">
        <v>5.47</v>
      </c>
      <c r="O55">
        <v>96.88</v>
      </c>
      <c r="P55">
        <v>5</v>
      </c>
      <c r="Q55">
        <v>96</v>
      </c>
      <c r="R55">
        <v>5</v>
      </c>
      <c r="S55">
        <v>96</v>
      </c>
      <c r="T55" t="s">
        <v>73</v>
      </c>
    </row>
    <row r="56" spans="1:20" x14ac:dyDescent="0.25">
      <c r="A56">
        <v>22300716</v>
      </c>
      <c r="B56" t="s">
        <v>4</v>
      </c>
      <c r="C56" t="s">
        <v>64</v>
      </c>
      <c r="D56">
        <v>139</v>
      </c>
      <c r="E56">
        <v>130</v>
      </c>
      <c r="F56">
        <v>9</v>
      </c>
      <c r="G56">
        <v>4</v>
      </c>
      <c r="H56" s="1">
        <v>1.1226851851851851E-3</v>
      </c>
      <c r="I56">
        <v>2023</v>
      </c>
      <c r="J56" t="s">
        <v>59</v>
      </c>
      <c r="K56" s="2" t="str">
        <f>HYPERLINK("https://www.nba.com/stats/events?CFID=&amp;CFPARAMS=&amp;GameEventID=623&amp;GameID=0022300716&amp;Season=2023-24&amp;flag=1&amp;title=A.%20Coffey%20running%20Layup%20(12%20PTS)%20(K.%20Leonard%205%20AST)", "A. Coffey running Layup (12 PTS) (K. Leonard 5 AST)")</f>
        <v>A. Coffey running Layup (12 PTS) (K. Leonard 5 AST)</v>
      </c>
      <c r="L56" s="2" t="str">
        <f>HYPERLINK("https://www.nba.com/game/...-vs-...-0022300716/play-by-play?watchFullGame=true", "LAC vs ATL - Q4 01:37.00")</f>
        <v>LAC vs ATL - Q4 01:37.00</v>
      </c>
      <c r="M56">
        <v>1.98</v>
      </c>
      <c r="N56">
        <v>5.86</v>
      </c>
      <c r="O56">
        <v>46.08</v>
      </c>
      <c r="P56">
        <v>20</v>
      </c>
      <c r="Q56">
        <v>3</v>
      </c>
      <c r="R56">
        <v>5</v>
      </c>
      <c r="S56">
        <v>46</v>
      </c>
      <c r="T56" t="s">
        <v>73</v>
      </c>
    </row>
    <row r="57" spans="1:20" x14ac:dyDescent="0.25">
      <c r="A57">
        <v>21900485</v>
      </c>
      <c r="B57" t="s">
        <v>4</v>
      </c>
      <c r="C57" t="s">
        <v>69</v>
      </c>
      <c r="D57">
        <v>58</v>
      </c>
      <c r="E57">
        <v>55</v>
      </c>
      <c r="F57">
        <v>3</v>
      </c>
      <c r="G57">
        <v>2</v>
      </c>
      <c r="H57" s="1">
        <v>1.2152777777777778E-3</v>
      </c>
      <c r="I57">
        <v>2019</v>
      </c>
      <c r="J57" t="s">
        <v>59</v>
      </c>
      <c r="K57" s="2" t="str">
        <f>HYPERLINK("https://www.nba.com/stats/events?CFID=&amp;CFPARAMS=&amp;GameEventID=297&amp;GameID=0021900485&amp;Season=2019-20&amp;flag=1&amp;title=J.%20Green%20layup%20(4%20PTS)%20(K.%20Leonard%203%20AST)", "J. Green layup (4 PTS) (K. Leonard 3 AST)")</f>
        <v>J. Green layup (4 PTS) (K. Leonard 3 AST)</v>
      </c>
      <c r="L57" s="2" t="str">
        <f>HYPERLINK("https://www.nba.com/game/...-vs-...-0021900485/play-by-play?watchFullGame=true", "LAC vs UTA - Q2 01:45.00")</f>
        <v>LAC vs UTA - Q2 01:45.00</v>
      </c>
      <c r="M57">
        <v>2.46</v>
      </c>
      <c r="N57">
        <v>6.62</v>
      </c>
      <c r="O57">
        <v>53.85</v>
      </c>
      <c r="P57">
        <v>-19</v>
      </c>
      <c r="Q57">
        <v>10</v>
      </c>
      <c r="R57">
        <v>6</v>
      </c>
      <c r="S57">
        <v>53</v>
      </c>
      <c r="T57" t="s">
        <v>73</v>
      </c>
    </row>
    <row r="58" spans="1:20" x14ac:dyDescent="0.25">
      <c r="A58">
        <v>21900276</v>
      </c>
      <c r="B58" t="s">
        <v>4</v>
      </c>
      <c r="C58" t="s">
        <v>69</v>
      </c>
      <c r="D58">
        <v>2</v>
      </c>
      <c r="E58">
        <v>0</v>
      </c>
      <c r="F58">
        <v>2</v>
      </c>
      <c r="G58">
        <v>1</v>
      </c>
      <c r="H58" s="1">
        <v>7.789351851851852E-3</v>
      </c>
      <c r="I58">
        <v>2019</v>
      </c>
      <c r="J58" t="s">
        <v>59</v>
      </c>
      <c r="K58" s="2" t="str">
        <f>HYPERLINK("https://www.nba.com/stats/events?CFID=&amp;CFPARAMS=&amp;GameEventID=11&amp;GameID=0021900276&amp;Season=2019-20&amp;flag=1&amp;title=P.%20George%20layup%20(2%20PTS)%20(K.%20Leonard%201%20AST)", "P. George layup (2 PTS) (K. Leonard 1 AST)")</f>
        <v>P. George layup (2 PTS) (K. Leonard 1 AST)</v>
      </c>
      <c r="L58" s="2" t="str">
        <f>HYPERLINK("https://www.nba.com/game/...-vs-...-0021900276/play-by-play?watchFullGame=true", "LAC vs SAS - Q1 11:13.00")</f>
        <v>LAC vs SAS - Q1 11:13.00</v>
      </c>
      <c r="M58">
        <v>1.9</v>
      </c>
      <c r="N58">
        <v>6.78</v>
      </c>
      <c r="O58">
        <v>51.78</v>
      </c>
      <c r="P58">
        <v>-9</v>
      </c>
      <c r="Q58">
        <v>11</v>
      </c>
      <c r="R58">
        <v>6</v>
      </c>
      <c r="S58">
        <v>51</v>
      </c>
      <c r="T58" t="s">
        <v>73</v>
      </c>
    </row>
    <row r="59" spans="1:20" x14ac:dyDescent="0.25">
      <c r="A59">
        <v>22000116</v>
      </c>
      <c r="B59" t="s">
        <v>4</v>
      </c>
      <c r="C59" t="s">
        <v>9</v>
      </c>
      <c r="D59">
        <v>14</v>
      </c>
      <c r="E59">
        <v>6</v>
      </c>
      <c r="F59">
        <v>8</v>
      </c>
      <c r="G59">
        <v>1</v>
      </c>
      <c r="H59" s="1">
        <v>3.0439814814814813E-3</v>
      </c>
      <c r="I59">
        <v>2020</v>
      </c>
      <c r="J59" t="s">
        <v>59</v>
      </c>
      <c r="K59" s="2" t="str">
        <f>HYPERLINK("https://www.nba.com/stats/events?CFID=&amp;CFPARAMS=&amp;GameEventID=91&amp;GameID=0022000116&amp;Season=2020-21&amp;flag=1&amp;title=N.%20Batum%2016'%20pullup%20Jump%20Shot%20(7%20PTS)%20(K.%20Leonard%201%20AST)", "N. Batum 16' pullup Jump Shot (7 PTS) (K. Leonard 1 AST)")</f>
        <v>N. Batum 16' pullup Jump Shot (7 PTS) (K. Leonard 1 AST)</v>
      </c>
      <c r="L59" s="2" t="str">
        <f>HYPERLINK("https://www.nba.com/game/...-vs-...-0022000116/play-by-play?watchFullGame=true", "LAC vs GSW - Q1 04:23.00")</f>
        <v>LAC vs GSW - Q1 04:23.00</v>
      </c>
      <c r="M59">
        <v>16.25</v>
      </c>
      <c r="N59">
        <v>6.78</v>
      </c>
      <c r="O59">
        <v>82.42</v>
      </c>
      <c r="P59">
        <v>-162</v>
      </c>
      <c r="Q59">
        <v>11</v>
      </c>
      <c r="R59">
        <v>6</v>
      </c>
      <c r="S59">
        <v>82</v>
      </c>
      <c r="T59" t="s">
        <v>73</v>
      </c>
    </row>
    <row r="60" spans="1:20" x14ac:dyDescent="0.25">
      <c r="A60">
        <v>21900276</v>
      </c>
      <c r="B60" t="s">
        <v>4</v>
      </c>
      <c r="C60" t="s">
        <v>63</v>
      </c>
      <c r="D60">
        <v>4</v>
      </c>
      <c r="E60">
        <v>2</v>
      </c>
      <c r="F60">
        <v>2</v>
      </c>
      <c r="G60">
        <v>1</v>
      </c>
      <c r="H60" s="1">
        <v>6.5740740740740742E-3</v>
      </c>
      <c r="I60">
        <v>2019</v>
      </c>
      <c r="J60" t="s">
        <v>59</v>
      </c>
      <c r="K60" s="2" t="str">
        <f>HYPERLINK("https://www.nba.com/stats/events?CFID=&amp;CFPARAMS=&amp;GameEventID=27&amp;GameID=0021900276&amp;Season=2019-20&amp;flag=1&amp;title=I.%20Zubac%20dunk%20(2%20PTS)%20(K.%20Leonard%202%20AST)", "I. Zubac dunk (2 PTS) (K. Leonard 2 AST)")</f>
        <v>I. Zubac dunk (2 PTS) (K. Leonard 2 AST)</v>
      </c>
      <c r="L60" s="2" t="str">
        <f>HYPERLINK("https://www.nba.com/game/...-vs-...-0021900276/play-by-play?watchFullGame=true", "LAC vs SAS - Q1 09:28.00")</f>
        <v>LAC vs SAS - Q1 09:28.00</v>
      </c>
      <c r="M60">
        <v>1.68</v>
      </c>
      <c r="N60">
        <v>6.78</v>
      </c>
      <c r="O60">
        <v>50.07</v>
      </c>
      <c r="P60">
        <v>6</v>
      </c>
      <c r="Q60">
        <v>11</v>
      </c>
      <c r="R60">
        <v>6</v>
      </c>
      <c r="S60">
        <v>50</v>
      </c>
      <c r="T60" t="s">
        <v>73</v>
      </c>
    </row>
    <row r="61" spans="1:20" x14ac:dyDescent="0.25">
      <c r="A61">
        <v>21900419</v>
      </c>
      <c r="B61" t="s">
        <v>10</v>
      </c>
      <c r="C61" t="s">
        <v>61</v>
      </c>
      <c r="D61">
        <v>84</v>
      </c>
      <c r="E61">
        <v>78</v>
      </c>
      <c r="F61">
        <v>6</v>
      </c>
      <c r="G61">
        <v>3</v>
      </c>
      <c r="H61" s="1">
        <v>2.9513888888888888E-3</v>
      </c>
      <c r="I61">
        <v>2019</v>
      </c>
      <c r="J61" t="s">
        <v>59</v>
      </c>
      <c r="K61" s="2" t="str">
        <f>HYPERLINK("https://www.nba.com/stats/events?CFID=&amp;CFPARAMS=&amp;GameEventID=421&amp;GameID=0021900419&amp;Season=2019-20&amp;flag=1&amp;title=L.%20Shamet%2023'%203PT%20%20(6%20PTS)%20(K.%20Leonard%203%20AST)", "L. Shamet 23' 3PT  (6 PTS) (K. Leonard 3 AST)")</f>
        <v>L. Shamet 23' 3PT  (6 PTS) (K. Leonard 3 AST)</v>
      </c>
      <c r="L61" s="2" t="str">
        <f>HYPERLINK("https://www.nba.com/game/...-vs-...-0021900419/play-by-play?watchFullGame=true", "LAC vs HOU - Q3 04:15.00")</f>
        <v>LAC vs HOU - Q3 04:15.00</v>
      </c>
      <c r="M61">
        <v>23</v>
      </c>
      <c r="N61">
        <v>6.62</v>
      </c>
      <c r="O61">
        <v>4.0999999999999996</v>
      </c>
      <c r="P61">
        <v>230</v>
      </c>
      <c r="Q61">
        <v>10</v>
      </c>
      <c r="R61">
        <v>6</v>
      </c>
      <c r="S61">
        <v>4</v>
      </c>
      <c r="T61" t="s">
        <v>73</v>
      </c>
    </row>
    <row r="62" spans="1:20" x14ac:dyDescent="0.25">
      <c r="A62">
        <v>21900436</v>
      </c>
      <c r="B62" t="s">
        <v>10</v>
      </c>
      <c r="C62" t="s">
        <v>61</v>
      </c>
      <c r="D62">
        <v>5</v>
      </c>
      <c r="E62">
        <v>3</v>
      </c>
      <c r="F62">
        <v>2</v>
      </c>
      <c r="G62">
        <v>1</v>
      </c>
      <c r="H62" s="1">
        <v>7.3842592592592597E-3</v>
      </c>
      <c r="I62">
        <v>2019</v>
      </c>
      <c r="J62" t="s">
        <v>59</v>
      </c>
      <c r="K62" s="2" t="str">
        <f>HYPERLINK("https://www.nba.com/stats/events?CFID=&amp;CFPARAMS=&amp;GameEventID=21&amp;GameID=0021900436&amp;Season=2019-20&amp;flag=1&amp;title=M.%20Harkless%2023'%203PT%20%20(3%20PTS)%20(K.%20Leonard%201%20AST)", "M. Harkless 23' 3PT  (3 PTS) (K. Leonard 1 AST)")</f>
        <v>M. Harkless 23' 3PT  (3 PTS) (K. Leonard 1 AST)</v>
      </c>
      <c r="L62" s="2" t="str">
        <f>HYPERLINK("https://www.nba.com/game/...-vs-...-0021900436/play-by-play?watchFullGame=true", "LAC vs SAS - Q1 10:38.00")</f>
        <v>LAC vs SAS - Q1 10:38.00</v>
      </c>
      <c r="M62">
        <v>22.55</v>
      </c>
      <c r="N62">
        <v>6.39</v>
      </c>
      <c r="O62">
        <v>4.97</v>
      </c>
      <c r="P62">
        <v>225</v>
      </c>
      <c r="Q62">
        <v>8</v>
      </c>
      <c r="R62">
        <v>6</v>
      </c>
      <c r="S62">
        <v>4</v>
      </c>
      <c r="T62" t="s">
        <v>73</v>
      </c>
    </row>
    <row r="63" spans="1:20" x14ac:dyDescent="0.25">
      <c r="A63">
        <v>22000224</v>
      </c>
      <c r="B63" t="s">
        <v>4</v>
      </c>
      <c r="C63" t="s">
        <v>64</v>
      </c>
      <c r="D63">
        <v>94</v>
      </c>
      <c r="E63">
        <v>73</v>
      </c>
      <c r="F63">
        <v>21</v>
      </c>
      <c r="G63">
        <v>3</v>
      </c>
      <c r="H63" s="1">
        <v>5.5555555555555556E-4</v>
      </c>
      <c r="I63">
        <v>2020</v>
      </c>
      <c r="J63" t="s">
        <v>59</v>
      </c>
      <c r="K63" s="2" t="str">
        <f>HYPERLINK("https://www.nba.com/stats/events?CFID=&amp;CFPARAMS=&amp;GameEventID=452&amp;GameID=0022000224&amp;Season=2020-21&amp;flag=1&amp;title=I.%20Zubac%20Layup%20(8%20PTS)%20(K.%20Leonard%205%20AST)", "I. Zubac Layup (8 PTS) (K. Leonard 5 AST)")</f>
        <v>I. Zubac Layup (8 PTS) (K. Leonard 5 AST)</v>
      </c>
      <c r="L63" s="2" t="str">
        <f>HYPERLINK("https://www.nba.com/game/...-vs-...-0022000224/play-by-play?watchFullGame=true", "LAC vs SAC - Q3 00:48.00")</f>
        <v>LAC vs SAC - Q3 00:48.00</v>
      </c>
      <c r="M63">
        <v>1.48</v>
      </c>
      <c r="N63">
        <v>6.52</v>
      </c>
      <c r="O63">
        <v>47.62</v>
      </c>
      <c r="P63">
        <v>12</v>
      </c>
      <c r="Q63">
        <v>9</v>
      </c>
      <c r="R63">
        <v>6</v>
      </c>
      <c r="S63">
        <v>47</v>
      </c>
      <c r="T63" t="s">
        <v>73</v>
      </c>
    </row>
    <row r="64" spans="1:20" x14ac:dyDescent="0.25">
      <c r="A64">
        <v>22200810</v>
      </c>
      <c r="B64" t="s">
        <v>4</v>
      </c>
      <c r="C64" t="s">
        <v>65</v>
      </c>
      <c r="D64">
        <v>123</v>
      </c>
      <c r="E64">
        <v>116</v>
      </c>
      <c r="F64">
        <v>7</v>
      </c>
      <c r="G64">
        <v>4</v>
      </c>
      <c r="H64" s="1">
        <v>4.8842592592592601E-4</v>
      </c>
      <c r="I64">
        <v>2022</v>
      </c>
      <c r="J64" t="s">
        <v>59</v>
      </c>
      <c r="K64" s="2" t="str">
        <f>HYPERLINK("https://www.nba.com/stats/events?CFID=&amp;CFPARAMS=&amp;GameEventID=648&amp;GameID=0022200810&amp;Season=2022-23&amp;flag=1&amp;title=R.%20Jackson%20running%20DUNK%20(12%20PTS)%20(K.%20Leonard%206%20AST)", "R. Jackson running DUNK (12 PTS) (K. Leonard 6 AST)")</f>
        <v>R. Jackson running DUNK (12 PTS) (K. Leonard 6 AST)</v>
      </c>
      <c r="L64" s="2" t="str">
        <f>HYPERLINK("https://www.nba.com/game/...-vs-...-0022200810/play-by-play?watchFullGame=true", "LAC vs BKN - Q4 00:42.20")</f>
        <v>LAC vs BKN - Q4 00:42.20</v>
      </c>
      <c r="M64">
        <v>0.97</v>
      </c>
      <c r="N64">
        <v>6.26</v>
      </c>
      <c r="O64">
        <v>48.53</v>
      </c>
      <c r="P64">
        <v>7</v>
      </c>
      <c r="Q64">
        <v>6</v>
      </c>
      <c r="R64">
        <v>6</v>
      </c>
      <c r="S64">
        <v>48</v>
      </c>
      <c r="T64" t="s">
        <v>73</v>
      </c>
    </row>
    <row r="65" spans="1:20" x14ac:dyDescent="0.25">
      <c r="A65">
        <v>22001002</v>
      </c>
      <c r="B65" t="s">
        <v>4</v>
      </c>
      <c r="C65" t="s">
        <v>64</v>
      </c>
      <c r="D65">
        <v>73</v>
      </c>
      <c r="E65">
        <v>52</v>
      </c>
      <c r="F65">
        <v>21</v>
      </c>
      <c r="G65">
        <v>3</v>
      </c>
      <c r="H65" s="1">
        <v>5.2199074074074075E-3</v>
      </c>
      <c r="I65">
        <v>2020</v>
      </c>
      <c r="J65" t="s">
        <v>59</v>
      </c>
      <c r="K65" s="2" t="str">
        <f>HYPERLINK("https://www.nba.com/stats/events?CFID=&amp;CFPARAMS=&amp;GameEventID=358&amp;GameID=0022001002&amp;Season=2020-21&amp;flag=1&amp;title=I.%20Zubac%20alley-oop%20Layup%20(10%20PTS)%20(K.%20Leonard%205%20AST)", "I. Zubac alley-oop Layup (10 PTS) (K. Leonard 5 AST)")</f>
        <v>I. Zubac alley-oop Layup (10 PTS) (K. Leonard 5 AST)</v>
      </c>
      <c r="L65" s="2" t="str">
        <f>HYPERLINK("https://www.nba.com/game/...-vs-...-0022001002/play-by-play?watchFullGame=true", "LAC vs LAL - Q3 07:31.00")</f>
        <v>LAC vs LAL - Q3 07:31.00</v>
      </c>
      <c r="M65">
        <v>0.99</v>
      </c>
      <c r="N65">
        <v>6.26</v>
      </c>
      <c r="O65">
        <v>51.54</v>
      </c>
      <c r="P65">
        <v>-8</v>
      </c>
      <c r="Q65">
        <v>6</v>
      </c>
      <c r="R65">
        <v>6</v>
      </c>
      <c r="S65">
        <v>51</v>
      </c>
      <c r="T65" t="s">
        <v>73</v>
      </c>
    </row>
    <row r="66" spans="1:20" x14ac:dyDescent="0.25">
      <c r="A66">
        <v>21900090</v>
      </c>
      <c r="B66" t="s">
        <v>4</v>
      </c>
      <c r="C66" t="s">
        <v>63</v>
      </c>
      <c r="D66">
        <v>20</v>
      </c>
      <c r="E66">
        <v>22</v>
      </c>
      <c r="F66">
        <v>2</v>
      </c>
      <c r="G66">
        <v>2</v>
      </c>
      <c r="H66" s="1">
        <v>7.2453703703703708E-3</v>
      </c>
      <c r="I66">
        <v>2019</v>
      </c>
      <c r="J66" t="s">
        <v>59</v>
      </c>
      <c r="K66" s="2" t="str">
        <f>HYPERLINK("https://www.nba.com/stats/events?CFID=&amp;CFPARAMS=&amp;GameEventID=192&amp;GameID=0021900090&amp;Season=2019-20&amp;flag=1&amp;title=[LAC]%20Harrell%20dunk:%20Made%20(4%20PTS)%20assist:%20Leonard%20(1%20AST)", "[LAC] Harrell dunk: Made (4 PTS) assist: Leonard (1 AST)")</f>
        <v>[LAC] Harrell dunk: Made (4 PTS) assist: Leonard (1 AST)</v>
      </c>
      <c r="L66" s="2" t="str">
        <f>HYPERLINK("https://www.nba.com/game/...-vs-...-0021900090/play-by-play?watchFullGame=true", "LAC vs UTA - Q2 10:26.00")</f>
        <v>LAC vs UTA - Q2 10:26.00</v>
      </c>
      <c r="M66">
        <v>1.38</v>
      </c>
      <c r="N66">
        <v>6.36</v>
      </c>
      <c r="O66">
        <v>48.95</v>
      </c>
      <c r="P66">
        <v>5</v>
      </c>
      <c r="Q66">
        <v>7</v>
      </c>
      <c r="R66">
        <v>6</v>
      </c>
      <c r="S66">
        <v>48</v>
      </c>
      <c r="T66" t="s">
        <v>73</v>
      </c>
    </row>
    <row r="67" spans="1:20" x14ac:dyDescent="0.25">
      <c r="A67">
        <v>21900251</v>
      </c>
      <c r="B67" t="s">
        <v>4</v>
      </c>
      <c r="C67" t="s">
        <v>60</v>
      </c>
      <c r="D67">
        <v>5</v>
      </c>
      <c r="E67">
        <v>3</v>
      </c>
      <c r="F67">
        <v>2</v>
      </c>
      <c r="G67">
        <v>1</v>
      </c>
      <c r="H67" s="1">
        <v>7.0254629629629634E-3</v>
      </c>
      <c r="I67">
        <v>2019</v>
      </c>
      <c r="J67" t="s">
        <v>59</v>
      </c>
      <c r="K67" s="2" t="str">
        <f>HYPERLINK("https://www.nba.com/stats/events?CFID=&amp;CFPARAMS=&amp;GameEventID=23&amp;GameID=0021900251&amp;Season=2019-20&amp;flag=1&amp;title=I.%20Zubac%20hook%20(2%20PTS)%20(K.%20Leonard%202%20AST)", "I. Zubac hook (2 PTS) (K. Leonard 2 AST)")</f>
        <v>I. Zubac hook (2 PTS) (K. Leonard 2 AST)</v>
      </c>
      <c r="L67" s="2" t="str">
        <f>HYPERLINK("https://www.nba.com/game/...-vs-...-0021900251/play-by-play?watchFullGame=true", "LAC vs DAL - Q1 10:07.00")</f>
        <v>LAC vs DAL - Q1 10:07.00</v>
      </c>
      <c r="M67">
        <v>1.1599999999999999</v>
      </c>
      <c r="N67">
        <v>6.13</v>
      </c>
      <c r="O67">
        <v>49.09</v>
      </c>
      <c r="P67">
        <v>5</v>
      </c>
      <c r="Q67">
        <v>5</v>
      </c>
      <c r="R67">
        <v>6</v>
      </c>
      <c r="S67">
        <v>49</v>
      </c>
      <c r="T67" t="s">
        <v>73</v>
      </c>
    </row>
    <row r="68" spans="1:20" x14ac:dyDescent="0.25">
      <c r="A68">
        <v>21900618</v>
      </c>
      <c r="B68" t="s">
        <v>4</v>
      </c>
      <c r="C68" t="s">
        <v>69</v>
      </c>
      <c r="D68">
        <v>101</v>
      </c>
      <c r="E68">
        <v>84</v>
      </c>
      <c r="F68">
        <v>17</v>
      </c>
      <c r="G68">
        <v>4</v>
      </c>
      <c r="H68" s="1">
        <v>5.0000000000000001E-3</v>
      </c>
      <c r="I68">
        <v>2019</v>
      </c>
      <c r="J68" t="s">
        <v>59</v>
      </c>
      <c r="K68" s="2" t="str">
        <f>HYPERLINK("https://www.nba.com/stats/events?CFID=&amp;CFPARAMS=&amp;GameEventID=554&amp;GameID=0021900618&amp;Season=2019-20&amp;flag=1&amp;title=M.%20Harrell%20layup%20(15%20PTS)%20(K.%20Leonard%205%20AST)", "M. Harrell layup (15 PTS) (K. Leonard 5 AST)")</f>
        <v>M. Harrell layup (15 PTS) (K. Leonard 5 AST)</v>
      </c>
      <c r="L68" s="2" t="str">
        <f>HYPERLINK("https://www.nba.com/game/...-vs-...-0021900618/play-by-play?watchFullGame=true", "LAC vs ORL - Q4 07:12.00")</f>
        <v>LAC vs ORL - Q4 07:12.00</v>
      </c>
      <c r="M68">
        <v>1.66</v>
      </c>
      <c r="N68">
        <v>6.49</v>
      </c>
      <c r="O68">
        <v>48.22</v>
      </c>
      <c r="P68">
        <v>9</v>
      </c>
      <c r="Q68">
        <v>8</v>
      </c>
      <c r="R68">
        <v>6</v>
      </c>
      <c r="S68">
        <v>48</v>
      </c>
      <c r="T68" t="s">
        <v>73</v>
      </c>
    </row>
    <row r="69" spans="1:20" x14ac:dyDescent="0.25">
      <c r="A69">
        <v>21901258</v>
      </c>
      <c r="B69" t="s">
        <v>4</v>
      </c>
      <c r="C69" t="s">
        <v>69</v>
      </c>
      <c r="D69">
        <v>23</v>
      </c>
      <c r="E69">
        <v>24</v>
      </c>
      <c r="F69">
        <v>1</v>
      </c>
      <c r="G69">
        <v>1</v>
      </c>
      <c r="H69" s="1">
        <v>1.3425925925925925E-3</v>
      </c>
      <c r="I69">
        <v>2019</v>
      </c>
      <c r="J69" t="s">
        <v>59</v>
      </c>
      <c r="K69" s="2" t="str">
        <f>HYPERLINK("https://www.nba.com/stats/events?CFID=&amp;CFPARAMS=&amp;GameEventID=119&amp;GameID=0021901258&amp;Season=2019-20&amp;flag=1&amp;title=L.%20Williams%20layup%20(2%20PTS)%20(K.%20Leonard%202%20AST)", "L. Williams layup (2 PTS) (K. Leonard 2 AST)")</f>
        <v>L. Williams layup (2 PTS) (K. Leonard 2 AST)</v>
      </c>
      <c r="L69" s="2" t="str">
        <f>HYPERLINK("https://www.nba.com/game/...-vs-...-0021901258/play-by-play?watchFullGame=true", "LAC vs PHX - Q1 01:56.00")</f>
        <v>LAC vs PHX - Q1 01:56.00</v>
      </c>
      <c r="M69">
        <v>1.42</v>
      </c>
      <c r="N69">
        <v>6.13</v>
      </c>
      <c r="O69">
        <v>48.11</v>
      </c>
      <c r="P69">
        <v>9</v>
      </c>
      <c r="Q69">
        <v>5</v>
      </c>
      <c r="R69">
        <v>6</v>
      </c>
      <c r="S69">
        <v>48</v>
      </c>
      <c r="T69" t="s">
        <v>73</v>
      </c>
    </row>
    <row r="70" spans="1:20" x14ac:dyDescent="0.25">
      <c r="A70">
        <v>22200687</v>
      </c>
      <c r="B70" t="s">
        <v>10</v>
      </c>
      <c r="C70" t="s">
        <v>9</v>
      </c>
      <c r="D70">
        <v>98</v>
      </c>
      <c r="E70">
        <v>93</v>
      </c>
      <c r="F70">
        <v>5</v>
      </c>
      <c r="G70">
        <v>3</v>
      </c>
      <c r="H70" s="1">
        <v>7.8703703703703705E-4</v>
      </c>
      <c r="I70">
        <v>2022</v>
      </c>
      <c r="J70" t="s">
        <v>59</v>
      </c>
      <c r="K70" s="2" t="str">
        <f>HYPERLINK("https://www.nba.com/stats/events?CFID=&amp;CFPARAMS=&amp;GameEventID=404&amp;GameID=0022200687&amp;Season=2022-23&amp;flag=1&amp;title=N.%20Powell%203PT%20%20(18%20PTS)%20(K.%20Leonard%206%20AST)", "N. Powell 3PT  (18 PTS) (K. Leonard 6 AST)")</f>
        <v>N. Powell 3PT  (18 PTS) (K. Leonard 6 AST)</v>
      </c>
      <c r="L70" s="2" t="str">
        <f>HYPERLINK("https://www.nba.com/game/...-vs-...-0022200687/play-by-play?watchFullGame=true", "LAC vs SAS - Q3 01:08.00")</f>
        <v>LAC vs SAS - Q3 01:08.00</v>
      </c>
      <c r="M70">
        <v>23.3</v>
      </c>
      <c r="N70">
        <v>6.52</v>
      </c>
      <c r="O70">
        <v>96.57</v>
      </c>
      <c r="P70">
        <v>-233</v>
      </c>
      <c r="Q70">
        <v>9</v>
      </c>
      <c r="R70">
        <v>6</v>
      </c>
      <c r="S70">
        <v>96</v>
      </c>
      <c r="T70" t="s">
        <v>73</v>
      </c>
    </row>
    <row r="71" spans="1:20" x14ac:dyDescent="0.25">
      <c r="A71">
        <v>21900157</v>
      </c>
      <c r="B71" t="s">
        <v>4</v>
      </c>
      <c r="C71" t="s">
        <v>63</v>
      </c>
      <c r="D71">
        <v>47</v>
      </c>
      <c r="E71">
        <v>53</v>
      </c>
      <c r="F71">
        <v>6</v>
      </c>
      <c r="G71">
        <v>3</v>
      </c>
      <c r="H71" s="1">
        <v>5.7638888888888887E-3</v>
      </c>
      <c r="I71">
        <v>2019</v>
      </c>
      <c r="J71" t="s">
        <v>59</v>
      </c>
      <c r="K71" s="2" t="str">
        <f>HYPERLINK("https://www.nba.com/stats/events?CFID=&amp;CFPARAMS=&amp;GameEventID=381&amp;GameID=0021900157&amp;Season=2019-20&amp;flag=1&amp;title=I.%20Zubac%20dunk%20(7%20PTS)%20(K.%20Leonard%204%20AST)", "I. Zubac dunk (7 PTS) (K. Leonard 4 AST)")</f>
        <v>I. Zubac dunk (7 PTS) (K. Leonard 4 AST)</v>
      </c>
      <c r="L71" s="2" t="str">
        <f>HYPERLINK("https://www.nba.com/game/...-vs-...-0021900157/play-by-play?watchFullGame=true", "LAC vs HOU - Q3 08:18.00")</f>
        <v>LAC vs HOU - Q3 08:18.00</v>
      </c>
      <c r="M71">
        <v>2.27</v>
      </c>
      <c r="N71">
        <v>6.36</v>
      </c>
      <c r="O71">
        <v>46.25</v>
      </c>
      <c r="P71">
        <v>19</v>
      </c>
      <c r="Q71">
        <v>7</v>
      </c>
      <c r="R71">
        <v>6</v>
      </c>
      <c r="S71">
        <v>46</v>
      </c>
      <c r="T71" t="s">
        <v>73</v>
      </c>
    </row>
    <row r="72" spans="1:20" x14ac:dyDescent="0.25">
      <c r="A72">
        <v>21900157</v>
      </c>
      <c r="B72" t="s">
        <v>10</v>
      </c>
      <c r="C72" t="s">
        <v>61</v>
      </c>
      <c r="D72">
        <v>78</v>
      </c>
      <c r="E72">
        <v>78</v>
      </c>
      <c r="F72">
        <v>0</v>
      </c>
      <c r="G72">
        <v>4</v>
      </c>
      <c r="H72" s="1">
        <v>5.9375000000000001E-3</v>
      </c>
      <c r="I72">
        <v>2019</v>
      </c>
      <c r="J72" t="s">
        <v>59</v>
      </c>
      <c r="K72" s="2" t="str">
        <f>HYPERLINK("https://www.nba.com/stats/events?CFID=&amp;CFPARAMS=&amp;GameEventID=567&amp;GameID=0021900157&amp;Season=2019-20&amp;flag=1&amp;title=J.%20Green%2023'%203PT%20%20(9%20PTS)%20(K.%20Leonard%206%20AST)", "J. Green 23' 3PT  (9 PTS) (K. Leonard 6 AST)")</f>
        <v>J. Green 23' 3PT  (9 PTS) (K. Leonard 6 AST)</v>
      </c>
      <c r="L72" s="2" t="str">
        <f>HYPERLINK("https://www.nba.com/game/...-vs-...-0021900157/play-by-play?watchFullGame=true", "LAC vs HOU - Q4 08:33.00")</f>
        <v>LAC vs HOU - Q4 08:33.00</v>
      </c>
      <c r="M72">
        <v>23.04</v>
      </c>
      <c r="N72">
        <v>6.49</v>
      </c>
      <c r="O72">
        <v>96.01</v>
      </c>
      <c r="P72">
        <v>-230</v>
      </c>
      <c r="Q72">
        <v>8</v>
      </c>
      <c r="R72">
        <v>6</v>
      </c>
      <c r="S72">
        <v>96</v>
      </c>
      <c r="T72" t="s">
        <v>73</v>
      </c>
    </row>
    <row r="73" spans="1:20" x14ac:dyDescent="0.25">
      <c r="A73">
        <v>21900436</v>
      </c>
      <c r="B73" t="s">
        <v>10</v>
      </c>
      <c r="C73" t="s">
        <v>61</v>
      </c>
      <c r="D73">
        <v>58</v>
      </c>
      <c r="E73">
        <v>49</v>
      </c>
      <c r="F73">
        <v>9</v>
      </c>
      <c r="G73">
        <v>2</v>
      </c>
      <c r="H73" s="1">
        <v>3.2407407407407406E-3</v>
      </c>
      <c r="I73">
        <v>2019</v>
      </c>
      <c r="J73" t="s">
        <v>59</v>
      </c>
      <c r="K73" s="2" t="str">
        <f>HYPERLINK("https://www.nba.com/stats/events?CFID=&amp;CFPARAMS=&amp;GameEventID=254&amp;GameID=0021900436&amp;Season=2019-20&amp;flag=1&amp;title=P.%20Beverley%2022'%203PT%20%20(6%20PTS)%20(K.%20Leonard%203%20AST)", "P. Beverley 22' 3PT  (6 PTS) (K. Leonard 3 AST)")</f>
        <v>P. Beverley 22' 3PT  (6 PTS) (K. Leonard 3 AST)</v>
      </c>
      <c r="L73" s="2" t="str">
        <f>HYPERLINK("https://www.nba.com/game/...-vs-...-0021900436/play-by-play?watchFullGame=true", "LAC vs SAS - Q2 04:40.00")</f>
        <v>LAC vs SAS - Q2 04:40.00</v>
      </c>
      <c r="M73">
        <v>22.46</v>
      </c>
      <c r="N73">
        <v>6.92</v>
      </c>
      <c r="O73">
        <v>5.22</v>
      </c>
      <c r="P73">
        <v>224</v>
      </c>
      <c r="Q73">
        <v>13</v>
      </c>
      <c r="R73">
        <v>6</v>
      </c>
      <c r="S73">
        <v>5</v>
      </c>
      <c r="T73" t="s">
        <v>73</v>
      </c>
    </row>
    <row r="74" spans="1:20" x14ac:dyDescent="0.25">
      <c r="A74">
        <v>22000009</v>
      </c>
      <c r="B74" t="s">
        <v>10</v>
      </c>
      <c r="C74" t="s">
        <v>9</v>
      </c>
      <c r="D74">
        <v>18</v>
      </c>
      <c r="E74">
        <v>14</v>
      </c>
      <c r="F74">
        <v>4</v>
      </c>
      <c r="G74">
        <v>1</v>
      </c>
      <c r="H74" s="1">
        <v>3.6921296296296298E-3</v>
      </c>
      <c r="I74">
        <v>2020</v>
      </c>
      <c r="J74" t="s">
        <v>59</v>
      </c>
      <c r="K74" s="2" t="str">
        <f>HYPERLINK("https://www.nba.com/stats/events?CFID=&amp;CFPARAMS=&amp;GameEventID=87&amp;GameID=0022000009&amp;Season=2020-21&amp;flag=1&amp;title=L.%20Williams%203PT%20fadeaway%20(3%20PTS)%20(K.%20Leonard%202%20AST)", "L. Williams 3PT fadeaway (3 PTS) (K. Leonard 2 AST)")</f>
        <v>L. Williams 3PT fadeaway (3 PTS) (K. Leonard 2 AST)</v>
      </c>
      <c r="L74" s="2" t="str">
        <f>HYPERLINK("https://www.nba.com/game/...-vs-...-0022000009/play-by-play?watchFullGame=true", "LAC vs DEN - Q1 05:19.00")</f>
        <v>LAC vs DEN - Q1 05:19.00</v>
      </c>
      <c r="M74">
        <v>23.09</v>
      </c>
      <c r="N74">
        <v>6.52</v>
      </c>
      <c r="O74">
        <v>96.15</v>
      </c>
      <c r="P74">
        <v>-231</v>
      </c>
      <c r="Q74">
        <v>9</v>
      </c>
      <c r="R74">
        <v>6</v>
      </c>
      <c r="S74">
        <v>96</v>
      </c>
      <c r="T74" t="s">
        <v>73</v>
      </c>
    </row>
    <row r="75" spans="1:20" x14ac:dyDescent="0.25">
      <c r="A75">
        <v>22201112</v>
      </c>
      <c r="B75" t="s">
        <v>4</v>
      </c>
      <c r="C75" t="s">
        <v>64</v>
      </c>
      <c r="D75">
        <v>48</v>
      </c>
      <c r="E75">
        <v>56</v>
      </c>
      <c r="F75">
        <v>8</v>
      </c>
      <c r="G75">
        <v>2</v>
      </c>
      <c r="H75" s="1">
        <v>2.5810185185185185E-3</v>
      </c>
      <c r="I75">
        <v>2022</v>
      </c>
      <c r="J75" t="s">
        <v>59</v>
      </c>
      <c r="K75" s="2" t="str">
        <f>HYPERLINK("https://www.nba.com/stats/events?CFID=&amp;CFPARAMS=&amp;GameEventID=264&amp;GameID=0022201112&amp;Season=2022-23&amp;flag=1&amp;title=R.%20Westbrook%20cutting%20finger%20roll%20Layup%20(9%20PTS)%20(K.%20Leonard%204%20AST)", "R. Westbrook cutting finger roll Layup (9 PTS) (K. Leonard 4 AST)")</f>
        <v>R. Westbrook cutting finger roll Layup (9 PTS) (K. Leonard 4 AST)</v>
      </c>
      <c r="L75" s="2" t="str">
        <f>HYPERLINK("https://www.nba.com/game/...-vs-...-0022201112/play-by-play?watchFullGame=true", "LAC vs NOP - Q2 03:43.00")</f>
        <v>LAC vs NOP - Q2 03:43.00</v>
      </c>
      <c r="M75">
        <v>1.43</v>
      </c>
      <c r="N75">
        <v>6.88</v>
      </c>
      <c r="O75">
        <v>51.47</v>
      </c>
      <c r="P75">
        <v>-7</v>
      </c>
      <c r="Q75">
        <v>12</v>
      </c>
      <c r="R75">
        <v>6</v>
      </c>
      <c r="S75">
        <v>51</v>
      </c>
      <c r="T75" t="s">
        <v>73</v>
      </c>
    </row>
    <row r="76" spans="1:20" x14ac:dyDescent="0.25">
      <c r="A76">
        <v>22200255</v>
      </c>
      <c r="B76" t="s">
        <v>4</v>
      </c>
      <c r="C76" t="s">
        <v>64</v>
      </c>
      <c r="D76">
        <v>6</v>
      </c>
      <c r="E76">
        <v>7</v>
      </c>
      <c r="F76">
        <v>1</v>
      </c>
      <c r="G76">
        <v>1</v>
      </c>
      <c r="H76" s="1">
        <v>6.4120370370370373E-3</v>
      </c>
      <c r="I76">
        <v>2022</v>
      </c>
      <c r="J76" t="s">
        <v>59</v>
      </c>
      <c r="K76" s="2" t="str">
        <f>HYPERLINK("https://www.nba.com/stats/events?CFID=&amp;CFPARAMS=&amp;GameEventID=26&amp;GameID=0022200255&amp;Season=2022-23&amp;flag=1&amp;title=I.%20Zubac%20cutting%20Layup%20(2%20PTS)%20(K.%20Leonard%201%20AST)", "I. Zubac cutting Layup (2 PTS) (K. Leonard 1 AST)")</f>
        <v>I. Zubac cutting Layup (2 PTS) (K. Leonard 1 AST)</v>
      </c>
      <c r="L76" s="2" t="str">
        <f>HYPERLINK("https://www.nba.com/game/...-vs-...-0022200255/play-by-play?watchFullGame=true", "LAC vs UTA - Q1 09:14.00")</f>
        <v>LAC vs UTA - Q1 09:14.00</v>
      </c>
      <c r="M76">
        <v>1.1100000000000001</v>
      </c>
      <c r="N76">
        <v>6.75</v>
      </c>
      <c r="O76">
        <v>49.75</v>
      </c>
      <c r="P76">
        <v>1</v>
      </c>
      <c r="Q76">
        <v>11</v>
      </c>
      <c r="R76">
        <v>6</v>
      </c>
      <c r="S76">
        <v>49</v>
      </c>
      <c r="T76" t="s">
        <v>73</v>
      </c>
    </row>
    <row r="77" spans="1:20" x14ac:dyDescent="0.25">
      <c r="A77">
        <v>22300179</v>
      </c>
      <c r="B77" t="s">
        <v>4</v>
      </c>
      <c r="C77" t="s">
        <v>65</v>
      </c>
      <c r="D77">
        <v>17</v>
      </c>
      <c r="E77">
        <v>26</v>
      </c>
      <c r="F77">
        <v>9</v>
      </c>
      <c r="G77">
        <v>1</v>
      </c>
      <c r="H77" s="1">
        <v>1.4699074074074074E-3</v>
      </c>
      <c r="I77">
        <v>2023</v>
      </c>
      <c r="J77" t="s">
        <v>59</v>
      </c>
      <c r="K77" s="2" t="str">
        <f>HYPERLINK("https://www.nba.com/stats/events?CFID=&amp;CFPARAMS=&amp;GameEventID=123&amp;GameID=0022300179&amp;Season=2023-24&amp;flag=1&amp;title=M.%20Diabate%20cutting%20DUNK%20(2%20PTS)%20(K.%20Leonard%202%20AST)", "M. Diabate cutting DUNK (2 PTS) (K. Leonard 2 AST)")</f>
        <v>M. Diabate cutting DUNK (2 PTS) (K. Leonard 2 AST)</v>
      </c>
      <c r="L77" s="2" t="str">
        <f>HYPERLINK("https://www.nba.com/game/...-vs-...-0022300179/play-by-play?watchFullGame=true", "LAC vs MEM - Q1 02:07.00")</f>
        <v>LAC vs MEM - Q1 02:07.00</v>
      </c>
      <c r="M77">
        <v>1.0900000000000001</v>
      </c>
      <c r="N77">
        <v>6.62</v>
      </c>
      <c r="O77">
        <v>49.02</v>
      </c>
      <c r="P77">
        <v>5</v>
      </c>
      <c r="Q77">
        <v>10</v>
      </c>
      <c r="R77">
        <v>6</v>
      </c>
      <c r="S77">
        <v>49</v>
      </c>
      <c r="T77" t="s">
        <v>73</v>
      </c>
    </row>
    <row r="78" spans="1:20" x14ac:dyDescent="0.25">
      <c r="A78">
        <v>22301225</v>
      </c>
      <c r="B78" t="s">
        <v>10</v>
      </c>
      <c r="C78" t="s">
        <v>9</v>
      </c>
      <c r="D78">
        <v>111</v>
      </c>
      <c r="E78">
        <v>93</v>
      </c>
      <c r="F78">
        <v>18</v>
      </c>
      <c r="G78">
        <v>4</v>
      </c>
      <c r="H78" s="1">
        <v>3.3564814814814816E-3</v>
      </c>
      <c r="I78">
        <v>2023</v>
      </c>
      <c r="J78" t="s">
        <v>59</v>
      </c>
      <c r="K78" s="2" t="str">
        <f>HYPERLINK("https://www.nba.com/stats/events?CFID=&amp;CFPARAMS=&amp;GameEventID=605&amp;GameID=0022301225&amp;Season=2023-24&amp;flag=1&amp;title=P.%20George%203PT%20%20(18%20PTS)%20(K.%20Leonard%205%20AST)", "P. George 3PT  (18 PTS) (K. Leonard 5 AST)")</f>
        <v>P. George 3PT  (18 PTS) (K. Leonard 5 AST)</v>
      </c>
      <c r="L78" s="2" t="str">
        <f>HYPERLINK("https://www.nba.com/game/...-vs-...-0022301225/play-by-play?watchFullGame=true", "LAC vs UTA - Q4 04:50.00")</f>
        <v>LAC vs UTA - Q4 04:50.00</v>
      </c>
      <c r="M78">
        <v>22.45</v>
      </c>
      <c r="N78">
        <v>6.52</v>
      </c>
      <c r="O78">
        <v>94.85</v>
      </c>
      <c r="P78">
        <v>-224</v>
      </c>
      <c r="Q78">
        <v>9</v>
      </c>
      <c r="R78">
        <v>6</v>
      </c>
      <c r="S78">
        <v>94</v>
      </c>
      <c r="T78" t="s">
        <v>73</v>
      </c>
    </row>
    <row r="79" spans="1:20" x14ac:dyDescent="0.25">
      <c r="A79">
        <v>21900458</v>
      </c>
      <c r="B79" t="s">
        <v>4</v>
      </c>
      <c r="C79" t="s">
        <v>63</v>
      </c>
      <c r="D79">
        <v>49</v>
      </c>
      <c r="E79">
        <v>46</v>
      </c>
      <c r="F79">
        <v>3</v>
      </c>
      <c r="G79">
        <v>2</v>
      </c>
      <c r="H79" s="1">
        <v>2.2337962962962962E-3</v>
      </c>
      <c r="I79">
        <v>2019</v>
      </c>
      <c r="J79" t="s">
        <v>59</v>
      </c>
      <c r="K79" s="2" t="str">
        <f>HYPERLINK("https://www.nba.com/stats/events?CFID=&amp;CFPARAMS=&amp;GameEventID=299&amp;GameID=0021900458&amp;Season=2019-20&amp;flag=1&amp;title=P.%20Patterson%20dunk%20(4%20PTS)%20(K.%20Leonard%203%20AST)", "P. Patterson dunk (4 PTS) (K. Leonard 3 AST)")</f>
        <v>P. Patterson dunk (4 PTS) (K. Leonard 3 AST)</v>
      </c>
      <c r="L79" s="2" t="str">
        <f>HYPERLINK("https://www.nba.com/game/...-vs-...-0021900458/play-by-play?watchFullGame=true", "LAC vs LAL - Q2 03:13.00")</f>
        <v>LAC vs LAL - Q2 03:13.00</v>
      </c>
      <c r="M79">
        <v>1.71</v>
      </c>
      <c r="N79">
        <v>6.75</v>
      </c>
      <c r="O79">
        <v>50.91</v>
      </c>
      <c r="P79">
        <v>-5</v>
      </c>
      <c r="Q79">
        <v>11</v>
      </c>
      <c r="R79">
        <v>6</v>
      </c>
      <c r="S79">
        <v>50</v>
      </c>
      <c r="T79" t="s">
        <v>73</v>
      </c>
    </row>
    <row r="80" spans="1:20" x14ac:dyDescent="0.25">
      <c r="A80">
        <v>21900406</v>
      </c>
      <c r="B80" t="s">
        <v>4</v>
      </c>
      <c r="C80" t="s">
        <v>63</v>
      </c>
      <c r="D80">
        <v>52</v>
      </c>
      <c r="E80">
        <v>42</v>
      </c>
      <c r="F80">
        <v>10</v>
      </c>
      <c r="G80">
        <v>2</v>
      </c>
      <c r="H80" s="1">
        <v>4.7337962962962964E-4</v>
      </c>
      <c r="I80">
        <v>2019</v>
      </c>
      <c r="J80" t="s">
        <v>59</v>
      </c>
      <c r="K80" s="2" t="str">
        <f>HYPERLINK("https://www.nba.com/stats/events?CFID=&amp;CFPARAMS=&amp;GameEventID=339&amp;GameID=0021900406&amp;Season=2019-20&amp;flag=1&amp;title=M.%20Harrell%20dunk%20(6%20PTS)%20(K.%20Leonard%202%20AST)", "M. Harrell dunk (6 PTS) (K. Leonard 2 AST)")</f>
        <v>M. Harrell dunk (6 PTS) (K. Leonard 2 AST)</v>
      </c>
      <c r="L80" s="2" t="str">
        <f>HYPERLINK("https://www.nba.com/game/...-vs-...-0021900406/play-by-play?watchFullGame=true", "LAC vs PHX - Q2 00:40.90")</f>
        <v>LAC vs PHX - Q2 00:40.90</v>
      </c>
      <c r="M80">
        <v>2.0299999999999998</v>
      </c>
      <c r="N80">
        <v>6.75</v>
      </c>
      <c r="O80">
        <v>52.38</v>
      </c>
      <c r="P80">
        <v>-12</v>
      </c>
      <c r="Q80">
        <v>11</v>
      </c>
      <c r="R80">
        <v>6</v>
      </c>
      <c r="S80">
        <v>52</v>
      </c>
      <c r="T80" t="s">
        <v>73</v>
      </c>
    </row>
    <row r="81" spans="1:20" x14ac:dyDescent="0.25">
      <c r="A81">
        <v>21900436</v>
      </c>
      <c r="B81" t="s">
        <v>4</v>
      </c>
      <c r="C81" t="s">
        <v>63</v>
      </c>
      <c r="D81">
        <v>14</v>
      </c>
      <c r="E81">
        <v>14</v>
      </c>
      <c r="F81">
        <v>0</v>
      </c>
      <c r="G81">
        <v>1</v>
      </c>
      <c r="H81" s="1">
        <v>4.7916666666666663E-3</v>
      </c>
      <c r="I81">
        <v>2019</v>
      </c>
      <c r="J81" t="s">
        <v>59</v>
      </c>
      <c r="K81" s="2" t="str">
        <f>HYPERLINK("https://www.nba.com/stats/events?CFID=&amp;CFPARAMS=&amp;GameEventID=56&amp;GameID=0021900436&amp;Season=2019-20&amp;flag=1&amp;title=I.%20Zubac%20dunk%20(2%20PTS)%20(K.%20Leonard%202%20AST)", "I. Zubac dunk (2 PTS) (K. Leonard 2 AST)")</f>
        <v>I. Zubac dunk (2 PTS) (K. Leonard 2 AST)</v>
      </c>
      <c r="L81" s="2" t="str">
        <f>HYPERLINK("https://www.nba.com/game/...-vs-...-0021900436/play-by-play?watchFullGame=true", "LAC vs SAS - Q1 06:54.00")</f>
        <v>LAC vs SAS - Q1 06:54.00</v>
      </c>
      <c r="M81">
        <v>1.1299999999999999</v>
      </c>
      <c r="N81">
        <v>6.13</v>
      </c>
      <c r="O81">
        <v>50.8</v>
      </c>
      <c r="P81">
        <v>-4</v>
      </c>
      <c r="Q81">
        <v>5</v>
      </c>
      <c r="R81">
        <v>6</v>
      </c>
      <c r="S81">
        <v>50</v>
      </c>
      <c r="T81" t="s">
        <v>73</v>
      </c>
    </row>
    <row r="82" spans="1:20" x14ac:dyDescent="0.25">
      <c r="A82">
        <v>21900436</v>
      </c>
      <c r="B82" t="s">
        <v>4</v>
      </c>
      <c r="C82" t="s">
        <v>63</v>
      </c>
      <c r="D82">
        <v>66</v>
      </c>
      <c r="E82">
        <v>56</v>
      </c>
      <c r="F82">
        <v>10</v>
      </c>
      <c r="G82">
        <v>2</v>
      </c>
      <c r="H82" s="1">
        <v>1.4004629629629629E-3</v>
      </c>
      <c r="I82">
        <v>2019</v>
      </c>
      <c r="J82" t="s">
        <v>59</v>
      </c>
      <c r="K82" s="2" t="str">
        <f>HYPERLINK("https://www.nba.com/stats/events?CFID=&amp;CFPARAMS=&amp;GameEventID=292&amp;GameID=0021900436&amp;Season=2019-20&amp;flag=1&amp;title=M.%20Harkless%20dunk%20(8%20PTS)%20(K.%20Leonard%204%20AST)", "M. Harkless dunk (8 PTS) (K. Leonard 4 AST)")</f>
        <v>M. Harkless dunk (8 PTS) (K. Leonard 4 AST)</v>
      </c>
      <c r="L82" s="2" t="str">
        <f>HYPERLINK("https://www.nba.com/game/...-vs-...-0021900436/play-by-play?watchFullGame=true", "LAC vs SAS - Q2 02:01.00")</f>
        <v>LAC vs SAS - Q2 02:01.00</v>
      </c>
      <c r="M82">
        <v>1.5</v>
      </c>
      <c r="N82">
        <v>6.52</v>
      </c>
      <c r="O82">
        <v>49.09</v>
      </c>
      <c r="P82">
        <v>5</v>
      </c>
      <c r="Q82">
        <v>9</v>
      </c>
      <c r="R82">
        <v>6</v>
      </c>
      <c r="S82">
        <v>49</v>
      </c>
      <c r="T82" t="s">
        <v>73</v>
      </c>
    </row>
    <row r="83" spans="1:20" x14ac:dyDescent="0.25">
      <c r="A83">
        <v>22000625</v>
      </c>
      <c r="B83" t="s">
        <v>4</v>
      </c>
      <c r="C83" t="s">
        <v>64</v>
      </c>
      <c r="D83">
        <v>56</v>
      </c>
      <c r="E83">
        <v>66</v>
      </c>
      <c r="F83">
        <v>10</v>
      </c>
      <c r="G83">
        <v>3</v>
      </c>
      <c r="H83" s="1">
        <v>5.2662037037037035E-3</v>
      </c>
      <c r="I83">
        <v>2020</v>
      </c>
      <c r="J83" t="s">
        <v>59</v>
      </c>
      <c r="K83" s="2" t="str">
        <f>HYPERLINK("https://www.nba.com/stats/events?CFID=&amp;CFPARAMS=&amp;GameEventID=382&amp;GameID=0022000625&amp;Season=2020-21&amp;flag=1&amp;title=P.%20George%20driving%20Layup%20(16%20PTS)%20(K.%20Leonard%203%20AST)", "P. George driving Layup (16 PTS) (K. Leonard 3 AST)")</f>
        <v>P. George driving Layup (16 PTS) (K. Leonard 3 AST)</v>
      </c>
      <c r="L83" s="2" t="str">
        <f>HYPERLINK("https://www.nba.com/game/...-vs-...-0022000625/play-by-play?watchFullGame=true", "LAC vs DAL - Q3 07:35.00")</f>
        <v>LAC vs DAL - Q3 07:35.00</v>
      </c>
      <c r="M83">
        <v>0.71</v>
      </c>
      <c r="N83">
        <v>6.26</v>
      </c>
      <c r="O83">
        <v>49.33</v>
      </c>
      <c r="P83">
        <v>3</v>
      </c>
      <c r="Q83">
        <v>6</v>
      </c>
      <c r="R83">
        <v>6</v>
      </c>
      <c r="S83">
        <v>49</v>
      </c>
      <c r="T83" t="s">
        <v>73</v>
      </c>
    </row>
    <row r="84" spans="1:20" x14ac:dyDescent="0.25">
      <c r="A84">
        <v>22400715</v>
      </c>
      <c r="B84" t="s">
        <v>4</v>
      </c>
      <c r="C84" t="s">
        <v>64</v>
      </c>
      <c r="D84">
        <v>52</v>
      </c>
      <c r="E84">
        <v>73</v>
      </c>
      <c r="F84">
        <v>21</v>
      </c>
      <c r="G84">
        <v>3</v>
      </c>
      <c r="H84" s="1">
        <v>7.9166666666666673E-3</v>
      </c>
      <c r="I84">
        <v>2024</v>
      </c>
      <c r="J84" t="s">
        <v>59</v>
      </c>
      <c r="K84" s="2" t="str">
        <f>HYPERLINK("https://www.nba.com/stats/events?CFID=&amp;CFPARAMS=&amp;GameEventID=324&amp;GameID=0022400715&amp;Season=2024-25&amp;flag=1&amp;title=N.%20Powell%20driving%20reverse%20Layup%20(17%20PTS)%20(K.%20Leonard%202%20AST)", "N. Powell driving reverse Layup (17 PTS) (K. Leonard 2 AST)")</f>
        <v>N. Powell driving reverse Layup (17 PTS) (K. Leonard 2 AST)</v>
      </c>
      <c r="L84" s="2" t="str">
        <f>HYPERLINK("https://www.nba.com/game/...-vs-...-0022400715/play-by-play?watchFullGame=true", "LAC vs LAL - Q3 11:24.00")</f>
        <v>LAC vs LAL - Q3 11:24.00</v>
      </c>
      <c r="M84">
        <v>1.83</v>
      </c>
      <c r="N84">
        <v>6.26</v>
      </c>
      <c r="O84">
        <v>46.57</v>
      </c>
      <c r="P84">
        <v>17</v>
      </c>
      <c r="Q84">
        <v>6</v>
      </c>
      <c r="R84">
        <v>6</v>
      </c>
      <c r="S84">
        <v>46</v>
      </c>
      <c r="T84" t="s">
        <v>73</v>
      </c>
    </row>
    <row r="85" spans="1:20" x14ac:dyDescent="0.25">
      <c r="A85">
        <v>22300676</v>
      </c>
      <c r="B85" t="s">
        <v>4</v>
      </c>
      <c r="C85" t="s">
        <v>64</v>
      </c>
      <c r="D85">
        <v>81</v>
      </c>
      <c r="E85">
        <v>64</v>
      </c>
      <c r="F85">
        <v>17</v>
      </c>
      <c r="G85">
        <v>3</v>
      </c>
      <c r="H85" s="1">
        <v>4.2592592592592595E-3</v>
      </c>
      <c r="I85">
        <v>2023</v>
      </c>
      <c r="J85" t="s">
        <v>59</v>
      </c>
      <c r="K85" s="2" t="str">
        <f>HYPERLINK("https://www.nba.com/stats/events?CFID=&amp;CFPARAMS=&amp;GameEventID=386&amp;GameID=0022300676&amp;Season=2023-24&amp;flag=1&amp;title=A.%20Coffey%20running%20Layup%20(17%20PTS)%20(K.%20Leonard%203%20AST)", "A. Coffey running Layup (17 PTS) (K. Leonard 3 AST)")</f>
        <v>A. Coffey running Layup (17 PTS) (K. Leonard 3 AST)</v>
      </c>
      <c r="L85" s="2" t="str">
        <f>HYPERLINK("https://www.nba.com/game/...-vs-...-0022300676/play-by-play?watchFullGame=true", "LAC vs WAS - Q3 06:08.00")</f>
        <v>LAC vs WAS - Q3 06:08.00</v>
      </c>
      <c r="M85">
        <v>3.37</v>
      </c>
      <c r="N85">
        <v>6.26</v>
      </c>
      <c r="O85">
        <v>56.62</v>
      </c>
      <c r="P85">
        <v>-33</v>
      </c>
      <c r="Q85">
        <v>6</v>
      </c>
      <c r="R85">
        <v>6</v>
      </c>
      <c r="S85">
        <v>56</v>
      </c>
      <c r="T85" t="s">
        <v>73</v>
      </c>
    </row>
    <row r="86" spans="1:20" x14ac:dyDescent="0.25">
      <c r="A86">
        <v>22300897</v>
      </c>
      <c r="B86" t="s">
        <v>4</v>
      </c>
      <c r="C86" t="s">
        <v>65</v>
      </c>
      <c r="D86">
        <v>68</v>
      </c>
      <c r="E86">
        <v>77</v>
      </c>
      <c r="F86">
        <v>9</v>
      </c>
      <c r="G86">
        <v>3</v>
      </c>
      <c r="H86" s="1">
        <v>3.0324074074074073E-3</v>
      </c>
      <c r="I86">
        <v>2023</v>
      </c>
      <c r="J86" t="s">
        <v>59</v>
      </c>
      <c r="K86" s="2" t="str">
        <f>HYPERLINK("https://www.nba.com/stats/events?CFID=&amp;CFPARAMS=&amp;GameEventID=383&amp;GameID=0022300897&amp;Season=2023-24&amp;flag=1&amp;title=T.%20Mann%20DUNK%20(13%20PTS)%20(K.%20Leonard%205%20AST)", "T. Mann DUNK (13 PTS) (K. Leonard 5 AST)")</f>
        <v>T. Mann DUNK (13 PTS) (K. Leonard 5 AST)</v>
      </c>
      <c r="L86" s="2" t="str">
        <f>HYPERLINK("https://www.nba.com/game/...-vs-...-0022300897/play-by-play?watchFullGame=true", "LAC vs HOU - Q3 04:22.00")</f>
        <v>LAC vs HOU - Q3 04:22.00</v>
      </c>
      <c r="M86">
        <v>1.49</v>
      </c>
      <c r="N86">
        <v>6.26</v>
      </c>
      <c r="O86">
        <v>47.3</v>
      </c>
      <c r="P86">
        <v>13</v>
      </c>
      <c r="Q86">
        <v>6</v>
      </c>
      <c r="R86">
        <v>6</v>
      </c>
      <c r="S86">
        <v>47</v>
      </c>
      <c r="T86" t="s">
        <v>73</v>
      </c>
    </row>
    <row r="87" spans="1:20" x14ac:dyDescent="0.25">
      <c r="A87">
        <v>22000605</v>
      </c>
      <c r="B87" t="s">
        <v>4</v>
      </c>
      <c r="C87" t="s">
        <v>65</v>
      </c>
      <c r="D87">
        <v>63</v>
      </c>
      <c r="E87">
        <v>58</v>
      </c>
      <c r="F87">
        <v>5</v>
      </c>
      <c r="G87">
        <v>3</v>
      </c>
      <c r="H87" s="1">
        <v>6.076388888888889E-3</v>
      </c>
      <c r="I87">
        <v>2020</v>
      </c>
      <c r="J87" t="s">
        <v>59</v>
      </c>
      <c r="K87" s="2" t="str">
        <f>HYPERLINK("https://www.nba.com/stats/events?CFID=&amp;CFPARAMS=&amp;GameEventID=292&amp;GameID=0022000605&amp;Season=2020-21&amp;flag=1&amp;title=I.%20Zubac%20cutting%20DUNK%20(8%20PTS)%20(K.%20Leonard%204%20AST)", "I. Zubac cutting DUNK (8 PTS) (K. Leonard 4 AST)")</f>
        <v>I. Zubac cutting DUNK (8 PTS) (K. Leonard 4 AST)</v>
      </c>
      <c r="L87" s="2" t="str">
        <f>HYPERLINK("https://www.nba.com/game/...-vs-...-0022000605/play-by-play?watchFullGame=true", "LAC vs DAL - Q3 08:45.00")</f>
        <v>LAC vs DAL - Q3 08:45.00</v>
      </c>
      <c r="M87">
        <v>1.35</v>
      </c>
      <c r="N87">
        <v>6.92</v>
      </c>
      <c r="O87">
        <v>51.05</v>
      </c>
      <c r="P87">
        <v>-5</v>
      </c>
      <c r="Q87">
        <v>13</v>
      </c>
      <c r="R87">
        <v>6</v>
      </c>
      <c r="S87">
        <v>51</v>
      </c>
      <c r="T87" t="s">
        <v>73</v>
      </c>
    </row>
    <row r="88" spans="1:20" x14ac:dyDescent="0.25">
      <c r="A88">
        <v>22000625</v>
      </c>
      <c r="B88" t="s">
        <v>4</v>
      </c>
      <c r="C88" t="s">
        <v>64</v>
      </c>
      <c r="D88">
        <v>79</v>
      </c>
      <c r="E88">
        <v>89</v>
      </c>
      <c r="F88">
        <v>10</v>
      </c>
      <c r="G88">
        <v>4</v>
      </c>
      <c r="H88" s="1">
        <v>4.0972222222222226E-3</v>
      </c>
      <c r="I88">
        <v>2020</v>
      </c>
      <c r="J88" t="s">
        <v>59</v>
      </c>
      <c r="K88" s="2" t="str">
        <f>HYPERLINK("https://www.nba.com/stats/events?CFID=&amp;CFPARAMS=&amp;GameEventID=555&amp;GameID=0022000625&amp;Season=2020-21&amp;flag=1&amp;title=L.%20Williams%20Layup%20(5%20PTS)%20(K.%20Leonard%207%20AST)", "L. Williams Layup (5 PTS) (K. Leonard 7 AST)")</f>
        <v>L. Williams Layup (5 PTS) (K. Leonard 7 AST)</v>
      </c>
      <c r="L88" s="2" t="str">
        <f>HYPERLINK("https://www.nba.com/game/...-vs-...-0022000625/play-by-play?watchFullGame=true", "LAC vs DAL - Q4 05:54.00")</f>
        <v>LAC vs DAL - Q4 05:54.00</v>
      </c>
      <c r="M88">
        <v>0.86</v>
      </c>
      <c r="N88">
        <v>6.26</v>
      </c>
      <c r="O88">
        <v>48.84</v>
      </c>
      <c r="P88">
        <v>6</v>
      </c>
      <c r="Q88">
        <v>6</v>
      </c>
      <c r="R88">
        <v>6</v>
      </c>
      <c r="S88">
        <v>48</v>
      </c>
      <c r="T88" t="s">
        <v>73</v>
      </c>
    </row>
    <row r="89" spans="1:20" x14ac:dyDescent="0.25">
      <c r="A89">
        <v>22000644</v>
      </c>
      <c r="B89" t="s">
        <v>4</v>
      </c>
      <c r="C89" t="s">
        <v>64</v>
      </c>
      <c r="D89">
        <v>98</v>
      </c>
      <c r="E89">
        <v>73</v>
      </c>
      <c r="F89">
        <v>25</v>
      </c>
      <c r="G89">
        <v>3</v>
      </c>
      <c r="H89" s="1">
        <v>3.634259259259259E-4</v>
      </c>
      <c r="I89">
        <v>2020</v>
      </c>
      <c r="J89" t="s">
        <v>59</v>
      </c>
      <c r="K89" s="2" t="str">
        <f>HYPERLINK("https://www.nba.com/stats/events?CFID=&amp;CFPARAMS=&amp;GameEventID=495&amp;GameID=0022000644&amp;Season=2020-21&amp;flag=1&amp;title=T.%20Mann%20driving%20Layup%20(8%20PTS)%20(K.%20Leonard%204%20AST)", "T. Mann driving Layup (8 PTS) (K. Leonard 4 AST)")</f>
        <v>T. Mann driving Layup (8 PTS) (K. Leonard 4 AST)</v>
      </c>
      <c r="L89" s="2" t="str">
        <f>HYPERLINK("https://www.nba.com/game/...-vs-...-0022000644/play-by-play?watchFullGame=true", "LAC vs CHA - Q3 00:31.40")</f>
        <v>LAC vs CHA - Q3 00:31.40</v>
      </c>
      <c r="M89">
        <v>1.75</v>
      </c>
      <c r="N89">
        <v>6.26</v>
      </c>
      <c r="O89">
        <v>53.26</v>
      </c>
      <c r="P89">
        <v>-16</v>
      </c>
      <c r="Q89">
        <v>6</v>
      </c>
      <c r="R89">
        <v>6</v>
      </c>
      <c r="S89">
        <v>53</v>
      </c>
      <c r="T89" t="s">
        <v>73</v>
      </c>
    </row>
    <row r="90" spans="1:20" x14ac:dyDescent="0.25">
      <c r="A90">
        <v>22200538</v>
      </c>
      <c r="B90" t="s">
        <v>4</v>
      </c>
      <c r="C90" t="s">
        <v>64</v>
      </c>
      <c r="D90">
        <v>57</v>
      </c>
      <c r="E90">
        <v>64</v>
      </c>
      <c r="F90">
        <v>7</v>
      </c>
      <c r="G90">
        <v>3</v>
      </c>
      <c r="H90" s="1">
        <v>7.951388888888888E-3</v>
      </c>
      <c r="I90">
        <v>2022</v>
      </c>
      <c r="J90" t="s">
        <v>59</v>
      </c>
      <c r="K90" s="2" t="str">
        <f>HYPERLINK("https://www.nba.com/stats/events?CFID=&amp;CFPARAMS=&amp;GameEventID=303&amp;GameID=0022200538&amp;Season=2022-23&amp;flag=1&amp;title=P.%20George%20cutting%20Layup%20(19%20PTS)%20(K.%20Leonard%203%20AST)", "P. George cutting Layup (19 PTS) (K. Leonard 3 AST)")</f>
        <v>P. George cutting Layup (19 PTS) (K. Leonard 3 AST)</v>
      </c>
      <c r="L90" s="2" t="str">
        <f>HYPERLINK("https://www.nba.com/game/...-vs-...-0022200538/play-by-play?watchFullGame=true", "LAC vs IND - Q3 11:27.00")</f>
        <v>LAC vs IND - Q3 11:27.00</v>
      </c>
      <c r="M90">
        <v>3.15</v>
      </c>
      <c r="N90">
        <v>6.78</v>
      </c>
      <c r="O90">
        <v>44.12</v>
      </c>
      <c r="P90">
        <v>29</v>
      </c>
      <c r="Q90">
        <v>11</v>
      </c>
      <c r="R90">
        <v>6</v>
      </c>
      <c r="S90">
        <v>44</v>
      </c>
      <c r="T90" t="s">
        <v>73</v>
      </c>
    </row>
    <row r="91" spans="1:20" x14ac:dyDescent="0.25">
      <c r="A91">
        <v>22400646</v>
      </c>
      <c r="B91" t="s">
        <v>4</v>
      </c>
      <c r="C91" t="s">
        <v>65</v>
      </c>
      <c r="D91">
        <v>77</v>
      </c>
      <c r="E91">
        <v>77</v>
      </c>
      <c r="F91">
        <v>0</v>
      </c>
      <c r="G91">
        <v>3</v>
      </c>
      <c r="H91" s="1">
        <v>3.5416666666666665E-3</v>
      </c>
      <c r="I91">
        <v>2024</v>
      </c>
      <c r="J91" t="s">
        <v>59</v>
      </c>
      <c r="K91" s="2" t="str">
        <f>HYPERLINK("https://www.nba.com/stats/events?CFID=&amp;CFPARAMS=&amp;GameEventID=418&amp;GameID=0022400646&amp;Season=2024-25&amp;flag=1&amp;title=I.%20Zubac%20driving%20DUNK%20(10%20PTS)%20(K.%20Leonard%204%20AST)", "I. Zubac driving DUNK (10 PTS) (K. Leonard 4 AST)")</f>
        <v>I. Zubac driving DUNK (10 PTS) (K. Leonard 4 AST)</v>
      </c>
      <c r="L91" s="2" t="str">
        <f>HYPERLINK("https://www.nba.com/game/...-vs-...-0022400646/play-by-play?watchFullGame=true", "LAC vs MIL - Q3 05:06.00")</f>
        <v>LAC vs MIL - Q3 05:06.00</v>
      </c>
      <c r="M91">
        <v>0.95</v>
      </c>
      <c r="N91">
        <v>6.52</v>
      </c>
      <c r="O91">
        <v>49.26</v>
      </c>
      <c r="P91">
        <v>4</v>
      </c>
      <c r="Q91">
        <v>9</v>
      </c>
      <c r="R91">
        <v>6</v>
      </c>
      <c r="S91">
        <v>49</v>
      </c>
      <c r="T91" t="s">
        <v>73</v>
      </c>
    </row>
    <row r="92" spans="1:20" x14ac:dyDescent="0.25">
      <c r="A92">
        <v>22400671</v>
      </c>
      <c r="B92" t="s">
        <v>4</v>
      </c>
      <c r="C92" t="s">
        <v>70</v>
      </c>
      <c r="D92">
        <v>108</v>
      </c>
      <c r="E92">
        <v>107</v>
      </c>
      <c r="F92">
        <v>1</v>
      </c>
      <c r="G92">
        <v>4</v>
      </c>
      <c r="H92" s="1">
        <v>3.2291666666666666E-3</v>
      </c>
      <c r="I92">
        <v>2024</v>
      </c>
      <c r="J92" t="s">
        <v>59</v>
      </c>
      <c r="K92" s="2" t="str">
        <f>HYPERLINK("https://www.nba.com/stats/events?CFID=&amp;CFPARAMS=&amp;GameEventID=583&amp;GameID=0022400671&amp;Season=2024-25&amp;flag=1&amp;title=I.%20Zubac%20driving%20bank%20Hook%20(20%20PTS)%20(K.%20Leonard%206%20AST)", "I. Zubac driving bank Hook (20 PTS) (K. Leonard 6 AST)")</f>
        <v>I. Zubac driving bank Hook (20 PTS) (K. Leonard 6 AST)</v>
      </c>
      <c r="L92" s="2" t="str">
        <f>HYPERLINK("https://www.nba.com/game/...-vs-...-0022400671/play-by-play?watchFullGame=true", "LAC vs SAS - Q4 04:39.00")</f>
        <v>LAC vs SAS - Q4 04:39.00</v>
      </c>
      <c r="M92">
        <v>2.92</v>
      </c>
      <c r="N92">
        <v>6.39</v>
      </c>
      <c r="O92">
        <v>55.64</v>
      </c>
      <c r="P92">
        <v>-28</v>
      </c>
      <c r="Q92">
        <v>8</v>
      </c>
      <c r="R92">
        <v>6</v>
      </c>
      <c r="S92">
        <v>55</v>
      </c>
      <c r="T92" t="s">
        <v>73</v>
      </c>
    </row>
    <row r="93" spans="1:20" x14ac:dyDescent="0.25">
      <c r="A93">
        <v>22201229</v>
      </c>
      <c r="B93" t="s">
        <v>4</v>
      </c>
      <c r="C93" t="s">
        <v>64</v>
      </c>
      <c r="D93">
        <v>69</v>
      </c>
      <c r="E93">
        <v>69</v>
      </c>
      <c r="F93">
        <v>0</v>
      </c>
      <c r="G93">
        <v>3</v>
      </c>
      <c r="H93" s="1">
        <v>3.1250000000000002E-3</v>
      </c>
      <c r="I93">
        <v>2022</v>
      </c>
      <c r="J93" t="s">
        <v>59</v>
      </c>
      <c r="K93" s="2" t="str">
        <f>HYPERLINK("https://www.nba.com/stats/events?CFID=&amp;CFPARAMS=&amp;GameEventID=436&amp;GameID=0022201229&amp;Season=2022-23&amp;flag=1&amp;title=N.%20Powell%20driving%20Layup%20(11%20PTS)%20(K.%20Leonard%206%20AST)", "N. Powell driving Layup (11 PTS) (K. Leonard 6 AST)")</f>
        <v>N. Powell driving Layup (11 PTS) (K. Leonard 6 AST)</v>
      </c>
      <c r="L93" s="2" t="str">
        <f>HYPERLINK("https://www.nba.com/game/...-vs-...-0022201229/play-by-play?watchFullGame=true", "LAC vs PHX - Q3 04:30.00")</f>
        <v>LAC vs PHX - Q3 04:30.00</v>
      </c>
      <c r="M93">
        <v>0.85</v>
      </c>
      <c r="N93">
        <v>6.39</v>
      </c>
      <c r="O93">
        <v>49.26</v>
      </c>
      <c r="P93">
        <v>4</v>
      </c>
      <c r="Q93">
        <v>8</v>
      </c>
      <c r="R93">
        <v>6</v>
      </c>
      <c r="S93">
        <v>49</v>
      </c>
      <c r="T93" t="s">
        <v>73</v>
      </c>
    </row>
    <row r="94" spans="1:20" x14ac:dyDescent="0.25">
      <c r="A94">
        <v>22000091</v>
      </c>
      <c r="B94" t="s">
        <v>10</v>
      </c>
      <c r="C94" t="s">
        <v>9</v>
      </c>
      <c r="D94">
        <v>8</v>
      </c>
      <c r="E94">
        <v>5</v>
      </c>
      <c r="F94">
        <v>3</v>
      </c>
      <c r="G94">
        <v>1</v>
      </c>
      <c r="H94" s="1">
        <v>6.3078703703703708E-3</v>
      </c>
      <c r="I94">
        <v>2020</v>
      </c>
      <c r="J94" t="s">
        <v>59</v>
      </c>
      <c r="K94" s="2" t="str">
        <f>HYPERLINK("https://www.nba.com/stats/events?CFID=&amp;CFPARAMS=&amp;GameEventID=24&amp;GameID=0022000091&amp;Season=2020-21&amp;flag=1&amp;title=N.%20Batum%203PT%20%20(3%20PTS)%20(K.%20Leonard%202%20AST)", "N. Batum 3PT  (3 PTS) (K. Leonard 2 AST)")</f>
        <v>N. Batum 3PT  (3 PTS) (K. Leonard 2 AST)</v>
      </c>
      <c r="L94" s="2" t="str">
        <f>HYPERLINK("https://www.nba.com/game/...-vs-...-0022000091/play-by-play?watchFullGame=true", "LAC vs PHX - Q1 09:05.00")</f>
        <v>LAC vs PHX - Q1 09:05.00</v>
      </c>
      <c r="M94">
        <v>22.66</v>
      </c>
      <c r="N94">
        <v>6.65</v>
      </c>
      <c r="O94">
        <v>4.7300000000000004</v>
      </c>
      <c r="P94">
        <v>226</v>
      </c>
      <c r="Q94">
        <v>10</v>
      </c>
      <c r="R94">
        <v>6</v>
      </c>
      <c r="S94">
        <v>4</v>
      </c>
      <c r="T94" t="s">
        <v>73</v>
      </c>
    </row>
    <row r="95" spans="1:20" x14ac:dyDescent="0.25">
      <c r="A95">
        <v>22400679</v>
      </c>
      <c r="B95" t="s">
        <v>4</v>
      </c>
      <c r="C95" t="s">
        <v>65</v>
      </c>
      <c r="D95">
        <v>68</v>
      </c>
      <c r="E95">
        <v>59</v>
      </c>
      <c r="F95">
        <v>9</v>
      </c>
      <c r="G95">
        <v>3</v>
      </c>
      <c r="H95" s="1">
        <v>5.7870370370370367E-3</v>
      </c>
      <c r="I95">
        <v>2024</v>
      </c>
      <c r="J95" t="s">
        <v>59</v>
      </c>
      <c r="K95" s="2" t="str">
        <f>HYPERLINK("https://www.nba.com/stats/events?CFID=&amp;CFPARAMS=&amp;GameEventID=357&amp;GameID=0022400679&amp;Season=2024-25&amp;flag=1&amp;title=I.%20Zubac%20cutting%20DUNK%20(12%20PTS)%20(K.%20Leonard%201%20AST)", "I. Zubac cutting DUNK (12 PTS) (K. Leonard 1 AST)")</f>
        <v>I. Zubac cutting DUNK (12 PTS) (K. Leonard 1 AST)</v>
      </c>
      <c r="L95" s="2" t="str">
        <f>HYPERLINK("https://www.nba.com/game/...-vs-...-0022400679/play-by-play?watchFullGame=true", "LAC vs CHA - Q3 08:20.00")</f>
        <v>LAC vs CHA - Q3 08:20.00</v>
      </c>
      <c r="M95">
        <v>1.34</v>
      </c>
      <c r="N95">
        <v>6.39</v>
      </c>
      <c r="O95">
        <v>52.21</v>
      </c>
      <c r="P95">
        <v>-11</v>
      </c>
      <c r="Q95">
        <v>8</v>
      </c>
      <c r="R95">
        <v>6</v>
      </c>
      <c r="S95">
        <v>52</v>
      </c>
      <c r="T95" t="s">
        <v>73</v>
      </c>
    </row>
    <row r="96" spans="1:20" x14ac:dyDescent="0.25">
      <c r="A96">
        <v>41900237</v>
      </c>
      <c r="B96" t="s">
        <v>4</v>
      </c>
      <c r="C96" t="s">
        <v>69</v>
      </c>
      <c r="D96">
        <v>80</v>
      </c>
      <c r="E96">
        <v>93</v>
      </c>
      <c r="F96">
        <v>13</v>
      </c>
      <c r="G96">
        <v>4</v>
      </c>
      <c r="H96" s="1">
        <v>2.638888888888889E-3</v>
      </c>
      <c r="I96" t="s">
        <v>62</v>
      </c>
      <c r="J96" t="s">
        <v>59</v>
      </c>
      <c r="K96" s="2" t="str">
        <f>HYPERLINK("https://www.nba.com/stats/events?CFID=&amp;CFPARAMS=&amp;GameEventID=575&amp;GameID=0041900237&amp;Season=2019-20&amp;flag=1&amp;title=M.%20Harrell%20layup%20(16%20PTS)%20(K.%20Leonard%206%20AST)", "M. Harrell layup (16 PTS) (K. Leonard 6 AST)")</f>
        <v>M. Harrell layup (16 PTS) (K. Leonard 6 AST)</v>
      </c>
      <c r="L96" s="2" t="str">
        <f>HYPERLINK("https://www.nba.com/game/...-vs-...-0041900237/play-by-play?watchFullGame=true", "LAC vs DEN - Q4 03:48.00")</f>
        <v>LAC vs DEN - Q4 03:48.00</v>
      </c>
      <c r="M96">
        <v>1.79</v>
      </c>
      <c r="N96">
        <v>6.65</v>
      </c>
      <c r="O96">
        <v>51.78</v>
      </c>
      <c r="P96">
        <v>-9</v>
      </c>
      <c r="Q96">
        <v>10</v>
      </c>
      <c r="R96">
        <v>6</v>
      </c>
      <c r="S96">
        <v>51</v>
      </c>
      <c r="T96" t="s">
        <v>73</v>
      </c>
    </row>
    <row r="97" spans="1:20" x14ac:dyDescent="0.25">
      <c r="A97">
        <v>22000799</v>
      </c>
      <c r="B97" t="s">
        <v>10</v>
      </c>
      <c r="C97" t="s">
        <v>9</v>
      </c>
      <c r="D97">
        <v>81</v>
      </c>
      <c r="E97">
        <v>70</v>
      </c>
      <c r="F97">
        <v>11</v>
      </c>
      <c r="G97">
        <v>3</v>
      </c>
      <c r="H97" s="1">
        <v>2.685185185185185E-3</v>
      </c>
      <c r="I97">
        <v>2020</v>
      </c>
      <c r="J97" t="s">
        <v>59</v>
      </c>
      <c r="K97" s="2" t="str">
        <f>HYPERLINK("https://www.nba.com/stats/events?CFID=&amp;CFPARAMS=&amp;GameEventID=448&amp;GameID=0022000799&amp;Season=2020-21&amp;flag=1&amp;title=T.%20Mann%203PT%20running%20(7%20PTS)%20(K.%20Leonard%208%20AST)", "T. Mann 3PT running (7 PTS) (K. Leonard 8 AST)")</f>
        <v>T. Mann 3PT running (7 PTS) (K. Leonard 8 AST)</v>
      </c>
      <c r="L97" s="2" t="str">
        <f>HYPERLINK("https://www.nba.com/game/...-vs-...-0022000799/play-by-play?watchFullGame=true", "LAC vs HOU - Q3 03:52.00")</f>
        <v>LAC vs HOU - Q3 03:52.00</v>
      </c>
      <c r="M97">
        <v>22.91</v>
      </c>
      <c r="N97">
        <v>6.78</v>
      </c>
      <c r="O97">
        <v>4.24</v>
      </c>
      <c r="P97">
        <v>229</v>
      </c>
      <c r="Q97">
        <v>11</v>
      </c>
      <c r="R97">
        <v>6</v>
      </c>
      <c r="S97">
        <v>4</v>
      </c>
      <c r="T97" t="s">
        <v>73</v>
      </c>
    </row>
    <row r="98" spans="1:20" x14ac:dyDescent="0.25">
      <c r="A98">
        <v>21900224</v>
      </c>
      <c r="B98" t="s">
        <v>4</v>
      </c>
      <c r="C98" t="s">
        <v>63</v>
      </c>
      <c r="D98">
        <v>90</v>
      </c>
      <c r="E98">
        <v>86</v>
      </c>
      <c r="F98">
        <v>4</v>
      </c>
      <c r="G98">
        <v>4</v>
      </c>
      <c r="H98" s="1">
        <v>6.6782407407407407E-3</v>
      </c>
      <c r="I98">
        <v>2019</v>
      </c>
      <c r="J98" t="s">
        <v>59</v>
      </c>
      <c r="K98" s="2" t="str">
        <f>HYPERLINK("https://www.nba.com/stats/events?CFID=&amp;CFPARAMS=&amp;GameEventID=566&amp;GameID=0021900224&amp;Season=2019-20&amp;flag=1&amp;title=M.%20Harrell%20dunk%20(12%20PTS)%20(K.%20Leonard%202%20AST)", "M. Harrell dunk (12 PTS) (K. Leonard 2 AST)")</f>
        <v>M. Harrell dunk (12 PTS) (K. Leonard 2 AST)</v>
      </c>
      <c r="L98" s="2" t="str">
        <f>HYPERLINK("https://www.nba.com/game/...-vs-...-0021900224/play-by-play?watchFullGame=true", "LAC vs HOU - Q4 09:37.00")</f>
        <v>LAC vs HOU - Q4 09:37.00</v>
      </c>
      <c r="M98">
        <v>1.1499999999999999</v>
      </c>
      <c r="N98">
        <v>6.23</v>
      </c>
      <c r="O98">
        <v>49.93</v>
      </c>
      <c r="P98">
        <v>6</v>
      </c>
      <c r="Q98">
        <v>6</v>
      </c>
      <c r="R98">
        <v>6</v>
      </c>
      <c r="S98">
        <v>49</v>
      </c>
      <c r="T98" t="s">
        <v>73</v>
      </c>
    </row>
    <row r="99" spans="1:20" x14ac:dyDescent="0.25">
      <c r="A99">
        <v>41900232</v>
      </c>
      <c r="B99" t="s">
        <v>4</v>
      </c>
      <c r="C99" t="s">
        <v>69</v>
      </c>
      <c r="D99">
        <v>83</v>
      </c>
      <c r="E99">
        <v>91</v>
      </c>
      <c r="F99">
        <v>8</v>
      </c>
      <c r="G99">
        <v>4</v>
      </c>
      <c r="H99" s="1">
        <v>6.3194444444444444E-3</v>
      </c>
      <c r="I99" t="s">
        <v>62</v>
      </c>
      <c r="J99" t="s">
        <v>59</v>
      </c>
      <c r="K99" s="2" t="str">
        <f>HYPERLINK("https://www.nba.com/stats/events?CFID=&amp;CFPARAMS=&amp;GameEventID=546&amp;GameID=0041900232&amp;Season=2019-20&amp;flag=1&amp;title=P.%20George%20layup%20(19%20PTS)%20(K.%20Leonard%205%20AST)", "P. George layup (19 PTS) (K. Leonard 5 AST)")</f>
        <v>P. George layup (19 PTS) (K. Leonard 5 AST)</v>
      </c>
      <c r="L99" s="2" t="str">
        <f>HYPERLINK("https://www.nba.com/game/...-vs-...-0041900232/play-by-play?watchFullGame=true", "LAC vs DEN - Q4 09:06.00")</f>
        <v>LAC vs DEN - Q4 09:06.00</v>
      </c>
      <c r="M99">
        <v>2.04</v>
      </c>
      <c r="N99">
        <v>6.92</v>
      </c>
      <c r="O99">
        <v>48.11</v>
      </c>
      <c r="P99">
        <v>9</v>
      </c>
      <c r="Q99">
        <v>13</v>
      </c>
      <c r="R99">
        <v>6</v>
      </c>
      <c r="S99">
        <v>48</v>
      </c>
      <c r="T99" t="s">
        <v>73</v>
      </c>
    </row>
    <row r="100" spans="1:20" x14ac:dyDescent="0.25">
      <c r="A100">
        <v>22200810</v>
      </c>
      <c r="B100" t="s">
        <v>4</v>
      </c>
      <c r="C100" t="s">
        <v>65</v>
      </c>
      <c r="D100">
        <v>118</v>
      </c>
      <c r="E100">
        <v>113</v>
      </c>
      <c r="F100">
        <v>5</v>
      </c>
      <c r="G100">
        <v>4</v>
      </c>
      <c r="H100" s="1">
        <v>1.1689814814814816E-3</v>
      </c>
      <c r="I100">
        <v>2022</v>
      </c>
      <c r="J100" t="s">
        <v>59</v>
      </c>
      <c r="K100" s="2" t="str">
        <f>HYPERLINK("https://www.nba.com/stats/events?CFID=&amp;CFPARAMS=&amp;GameEventID=624&amp;GameID=0022200810&amp;Season=2022-23&amp;flag=1&amp;title=I.%20Zubac%20DUNK%20(19%20PTS)%20(K.%20Leonard%205%20AST)", "I. Zubac DUNK (19 PTS) (K. Leonard 5 AST)")</f>
        <v>I. Zubac DUNK (19 PTS) (K. Leonard 5 AST)</v>
      </c>
      <c r="L100" s="2" t="str">
        <f>HYPERLINK("https://www.nba.com/game/...-vs-...-0022200810/play-by-play?watchFullGame=true", "LAC vs BKN - Q4 01:41.00")</f>
        <v>LAC vs BKN - Q4 01:41.00</v>
      </c>
      <c r="M100">
        <v>0.63</v>
      </c>
      <c r="N100">
        <v>6.13</v>
      </c>
      <c r="O100">
        <v>49.26</v>
      </c>
      <c r="P100">
        <v>4</v>
      </c>
      <c r="Q100">
        <v>5</v>
      </c>
      <c r="R100">
        <v>6</v>
      </c>
      <c r="S100">
        <v>49</v>
      </c>
      <c r="T100" t="s">
        <v>73</v>
      </c>
    </row>
    <row r="101" spans="1:20" x14ac:dyDescent="0.25">
      <c r="A101">
        <v>22000736</v>
      </c>
      <c r="B101" t="s">
        <v>4</v>
      </c>
      <c r="C101" t="s">
        <v>65</v>
      </c>
      <c r="D101">
        <v>61</v>
      </c>
      <c r="E101">
        <v>71</v>
      </c>
      <c r="F101">
        <v>10</v>
      </c>
      <c r="G101">
        <v>3</v>
      </c>
      <c r="H101" s="1">
        <v>3.9004629629629628E-3</v>
      </c>
      <c r="I101">
        <v>2020</v>
      </c>
      <c r="J101" t="s">
        <v>59</v>
      </c>
      <c r="K101" s="2" t="str">
        <f>HYPERLINK("https://www.nba.com/stats/events?CFID=&amp;CFPARAMS=&amp;GameEventID=367&amp;GameID=0022000736&amp;Season=2020-21&amp;flag=1&amp;title=P.%20Patterson%20running%20alley-oop%20DUNK%20(4%20PTS)%20(K.%20Leonard%203%20AST)", "P. Patterson running alley-oop DUNK (4 PTS) (K. Leonard 3 AST)")</f>
        <v>P. Patterson running alley-oop DUNK (4 PTS) (K. Leonard 3 AST)</v>
      </c>
      <c r="L101" s="2" t="str">
        <f>HYPERLINK("https://www.nba.com/game/...-vs-...-0022000736/play-by-play?watchFullGame=true", "LAC vs DEN - Q3 05:37.00")</f>
        <v>LAC vs DEN - Q3 05:37.00</v>
      </c>
      <c r="M101">
        <v>0.53</v>
      </c>
      <c r="N101">
        <v>6.13</v>
      </c>
      <c r="O101">
        <v>50.31</v>
      </c>
      <c r="P101">
        <v>-2</v>
      </c>
      <c r="Q101">
        <v>5</v>
      </c>
      <c r="R101">
        <v>6</v>
      </c>
      <c r="S101">
        <v>50</v>
      </c>
      <c r="T101" t="s">
        <v>73</v>
      </c>
    </row>
    <row r="102" spans="1:20" x14ac:dyDescent="0.25">
      <c r="A102">
        <v>42300173</v>
      </c>
      <c r="B102" t="s">
        <v>4</v>
      </c>
      <c r="C102" t="s">
        <v>64</v>
      </c>
      <c r="D102">
        <v>77</v>
      </c>
      <c r="E102">
        <v>92</v>
      </c>
      <c r="F102">
        <v>15</v>
      </c>
      <c r="G102">
        <v>4</v>
      </c>
      <c r="H102" s="1">
        <v>3.5069444444444445E-3</v>
      </c>
      <c r="I102" t="s">
        <v>72</v>
      </c>
      <c r="J102" t="s">
        <v>59</v>
      </c>
      <c r="K102" s="2" t="str">
        <f>HYPERLINK("https://www.nba.com/stats/events?CFID=&amp;CFPARAMS=&amp;GameEventID=602&amp;GameID=0042300173&amp;Season=2023-24&amp;flag=1&amp;title=J.%20Harden%20running%20Layup%20(21%20PTS)%20(K.%20Leonard%202%20AST)", "J. Harden running Layup (21 PTS) (K. Leonard 2 AST)")</f>
        <v>J. Harden running Layup (21 PTS) (K. Leonard 2 AST)</v>
      </c>
      <c r="L102" s="2" t="str">
        <f>HYPERLINK("https://www.nba.com/game/...-vs-...-0042300173/play-by-play?watchFullGame=true", "LAC vs DAL - Q4 05:03.00")</f>
        <v>LAC vs DAL - Q4 05:03.00</v>
      </c>
      <c r="M102">
        <v>1.1599999999999999</v>
      </c>
      <c r="N102">
        <v>6.78</v>
      </c>
      <c r="O102">
        <v>50.49</v>
      </c>
      <c r="P102">
        <v>6</v>
      </c>
      <c r="Q102">
        <v>50</v>
      </c>
      <c r="R102">
        <v>6</v>
      </c>
      <c r="S102">
        <v>50</v>
      </c>
      <c r="T102" t="s">
        <v>73</v>
      </c>
    </row>
    <row r="103" spans="1:20" x14ac:dyDescent="0.25">
      <c r="A103">
        <v>21900626</v>
      </c>
      <c r="B103" t="s">
        <v>4</v>
      </c>
      <c r="C103" t="s">
        <v>63</v>
      </c>
      <c r="D103">
        <v>53</v>
      </c>
      <c r="E103">
        <v>52</v>
      </c>
      <c r="F103">
        <v>1</v>
      </c>
      <c r="G103">
        <v>2</v>
      </c>
      <c r="H103" s="1">
        <v>4.7453703703703703E-3</v>
      </c>
      <c r="I103">
        <v>2019</v>
      </c>
      <c r="J103" t="s">
        <v>59</v>
      </c>
      <c r="K103" s="2" t="str">
        <f>HYPERLINK("https://www.nba.com/stats/events?CFID=&amp;CFPARAMS=&amp;GameEventID=248&amp;GameID=0021900626&amp;Season=2019-20&amp;flag=1&amp;title=M.%20Harrell%20dunk%20(11%20PTS)%20(K.%20Leonard%203%20AST)", "M. Harrell dunk (11 PTS) (K. Leonard 3 AST)")</f>
        <v>M. Harrell dunk (11 PTS) (K. Leonard 3 AST)</v>
      </c>
      <c r="L103" s="2" t="str">
        <f>HYPERLINK("https://www.nba.com/game/...-vs-...-0021900626/play-by-play?watchFullGame=true", "LAC vs NOP - Q2 06:50.00")</f>
        <v>LAC vs NOP - Q2 06:50.00</v>
      </c>
      <c r="M103">
        <v>2.0099999999999998</v>
      </c>
      <c r="N103">
        <v>6.92</v>
      </c>
      <c r="O103">
        <v>51.78</v>
      </c>
      <c r="P103">
        <v>-9</v>
      </c>
      <c r="Q103">
        <v>13</v>
      </c>
      <c r="R103">
        <v>6</v>
      </c>
      <c r="S103">
        <v>51</v>
      </c>
      <c r="T103" t="s">
        <v>73</v>
      </c>
    </row>
    <row r="104" spans="1:20" x14ac:dyDescent="0.25">
      <c r="A104">
        <v>22200538</v>
      </c>
      <c r="B104" t="s">
        <v>4</v>
      </c>
      <c r="C104" t="s">
        <v>64</v>
      </c>
      <c r="D104">
        <v>125</v>
      </c>
      <c r="E104">
        <v>123</v>
      </c>
      <c r="F104">
        <v>2</v>
      </c>
      <c r="G104">
        <v>4</v>
      </c>
      <c r="H104" s="1">
        <v>8.1018518518518516E-4</v>
      </c>
      <c r="I104">
        <v>2022</v>
      </c>
      <c r="J104" t="s">
        <v>59</v>
      </c>
      <c r="K104" s="2" t="str">
        <f>HYPERLINK("https://www.nba.com/stats/events?CFID=&amp;CFPARAMS=&amp;GameEventID=617&amp;GameID=0022200538&amp;Season=2022-23&amp;flag=1&amp;title=I.%20Zubac%20Layup%20(6%20PTS)%20(K.%20Leonard%207%20AST)", "I. Zubac Layup (6 PTS) (K. Leonard 7 AST)")</f>
        <v>I. Zubac Layup (6 PTS) (K. Leonard 7 AST)</v>
      </c>
      <c r="L104" s="2" t="str">
        <f>HYPERLINK("https://www.nba.com/game/...-vs-...-0022200538/play-by-play?watchFullGame=true", "LAC vs IND - Q4 01:10.00")</f>
        <v>LAC vs IND - Q4 01:10.00</v>
      </c>
      <c r="M104">
        <v>1.82</v>
      </c>
      <c r="N104">
        <v>6.52</v>
      </c>
      <c r="O104">
        <v>46.81</v>
      </c>
      <c r="P104">
        <v>16</v>
      </c>
      <c r="Q104">
        <v>9</v>
      </c>
      <c r="R104">
        <v>6</v>
      </c>
      <c r="S104">
        <v>46</v>
      </c>
      <c r="T104" t="s">
        <v>73</v>
      </c>
    </row>
    <row r="105" spans="1:20" x14ac:dyDescent="0.25">
      <c r="A105">
        <v>22000202</v>
      </c>
      <c r="B105" t="s">
        <v>4</v>
      </c>
      <c r="C105" t="s">
        <v>65</v>
      </c>
      <c r="D105">
        <v>63</v>
      </c>
      <c r="E105">
        <v>55</v>
      </c>
      <c r="F105">
        <v>8</v>
      </c>
      <c r="G105">
        <v>3</v>
      </c>
      <c r="H105" s="1">
        <v>8.1597222222222227E-3</v>
      </c>
      <c r="I105">
        <v>2020</v>
      </c>
      <c r="J105" t="s">
        <v>59</v>
      </c>
      <c r="K105" s="2" t="str">
        <f>HYPERLINK("https://www.nba.com/stats/events?CFID=&amp;CFPARAMS=&amp;GameEventID=309&amp;GameID=0022000202&amp;Season=2020-21&amp;flag=1&amp;title=I.%20Zubac%20cutting%20DUNK%20(6%20PTS)%20(K.%20Leonard%201%20AST)", "I. Zubac cutting DUNK (6 PTS) (K. Leonard 1 AST)")</f>
        <v>I. Zubac cutting DUNK (6 PTS) (K. Leonard 1 AST)</v>
      </c>
      <c r="L105" s="2" t="str">
        <f>HYPERLINK("https://www.nba.com/game/...-vs-...-0022000202/play-by-play?watchFullGame=true", "LAC vs IND - Q3 11:45.00")</f>
        <v>LAC vs IND - Q3 11:45.00</v>
      </c>
      <c r="M105">
        <v>0.75</v>
      </c>
      <c r="N105">
        <v>6.26</v>
      </c>
      <c r="O105">
        <v>50.8</v>
      </c>
      <c r="P105">
        <v>-4</v>
      </c>
      <c r="Q105">
        <v>6</v>
      </c>
      <c r="R105">
        <v>6</v>
      </c>
      <c r="S105">
        <v>50</v>
      </c>
      <c r="T105" t="s">
        <v>73</v>
      </c>
    </row>
    <row r="106" spans="1:20" x14ac:dyDescent="0.25">
      <c r="A106">
        <v>22200538</v>
      </c>
      <c r="B106" t="s">
        <v>10</v>
      </c>
      <c r="C106" t="s">
        <v>9</v>
      </c>
      <c r="D106">
        <v>65</v>
      </c>
      <c r="E106">
        <v>73</v>
      </c>
      <c r="F106">
        <v>8</v>
      </c>
      <c r="G106">
        <v>3</v>
      </c>
      <c r="H106" s="1">
        <v>5.8333333333333336E-3</v>
      </c>
      <c r="I106">
        <v>2022</v>
      </c>
      <c r="J106" t="s">
        <v>59</v>
      </c>
      <c r="K106" s="2" t="str">
        <f>HYPERLINK("https://www.nba.com/stats/events?CFID=&amp;CFPARAMS=&amp;GameEventID=331&amp;GameID=0022200538&amp;Season=2022-23&amp;flag=1&amp;title=R.%20Jackson%203PT%20%20(6%20PTS)%20(K.%20Leonard%204%20AST)", "R. Jackson 3PT  (6 PTS) (K. Leonard 4 AST)")</f>
        <v>R. Jackson 3PT  (6 PTS) (K. Leonard 4 AST)</v>
      </c>
      <c r="L106" s="2" t="str">
        <f>HYPERLINK("https://www.nba.com/game/...-vs-...-0022200538/play-by-play?watchFullGame=true", "LAC vs IND - Q3 08:24.00")</f>
        <v>LAC vs IND - Q3 08:24.00</v>
      </c>
      <c r="M106">
        <v>22.81</v>
      </c>
      <c r="N106">
        <v>6.52</v>
      </c>
      <c r="O106">
        <v>4.41</v>
      </c>
      <c r="P106">
        <v>228</v>
      </c>
      <c r="Q106">
        <v>9</v>
      </c>
      <c r="R106">
        <v>6</v>
      </c>
      <c r="S106">
        <v>4</v>
      </c>
      <c r="T106" t="s">
        <v>73</v>
      </c>
    </row>
    <row r="107" spans="1:20" x14ac:dyDescent="0.25">
      <c r="A107">
        <v>22200885</v>
      </c>
      <c r="B107" t="s">
        <v>4</v>
      </c>
      <c r="C107" t="s">
        <v>64</v>
      </c>
      <c r="D107">
        <v>105</v>
      </c>
      <c r="E107">
        <v>98</v>
      </c>
      <c r="F107">
        <v>7</v>
      </c>
      <c r="G107">
        <v>4</v>
      </c>
      <c r="H107" s="1">
        <v>3.1597222222222222E-3</v>
      </c>
      <c r="I107">
        <v>2022</v>
      </c>
      <c r="J107" t="s">
        <v>59</v>
      </c>
      <c r="K107" s="2" t="str">
        <f>HYPERLINK("https://www.nba.com/stats/events?CFID=&amp;CFPARAMS=&amp;GameEventID=610&amp;GameID=0022200885&amp;Season=2022-23&amp;flag=1&amp;title=P.%20George%20driving%20reverse%20Layup%20(24%20PTS)%20(K.%20Leonard%204%20AST)", "P. George driving reverse Layup (24 PTS) (K. Leonard 4 AST)")</f>
        <v>P. George driving reverse Layup (24 PTS) (K. Leonard 4 AST)</v>
      </c>
      <c r="L107" s="2" t="str">
        <f>HYPERLINK("https://www.nba.com/game/...-vs-...-0022200885/play-by-play?watchFullGame=true", "LAC vs PHX - Q4 04:33.00")</f>
        <v>LAC vs PHX - Q4 04:33.00</v>
      </c>
      <c r="M107">
        <v>1.07</v>
      </c>
      <c r="N107">
        <v>6.65</v>
      </c>
      <c r="O107">
        <v>50.74</v>
      </c>
      <c r="P107">
        <v>-4</v>
      </c>
      <c r="Q107">
        <v>10</v>
      </c>
      <c r="R107">
        <v>6</v>
      </c>
      <c r="S107">
        <v>50</v>
      </c>
      <c r="T107" t="s">
        <v>73</v>
      </c>
    </row>
    <row r="108" spans="1:20" x14ac:dyDescent="0.25">
      <c r="A108">
        <v>22300257</v>
      </c>
      <c r="B108" t="s">
        <v>4</v>
      </c>
      <c r="C108" t="s">
        <v>64</v>
      </c>
      <c r="D108">
        <v>104</v>
      </c>
      <c r="E108">
        <v>113</v>
      </c>
      <c r="F108">
        <v>9</v>
      </c>
      <c r="G108">
        <v>4</v>
      </c>
      <c r="H108" s="1">
        <v>2.199074074074074E-4</v>
      </c>
      <c r="I108">
        <v>2023</v>
      </c>
      <c r="J108" t="s">
        <v>59</v>
      </c>
      <c r="K108" s="2" t="str">
        <f>HYPERLINK("https://www.nba.com/stats/events?CFID=&amp;CFPARAMS=&amp;GameEventID=712&amp;GameID=0022300257&amp;Season=2023-24&amp;flag=1&amp;title=R.%20Westbrook%20driving%20finger%20roll%20Layup%20(14%20PTS)%20(K.%20Leonard%203%20AST)", "R. Westbrook driving finger roll Layup (14 PTS) (K. Leonard 3 AST)")</f>
        <v>R. Westbrook driving finger roll Layup (14 PTS) (K. Leonard 3 AST)</v>
      </c>
      <c r="L108" s="2" t="str">
        <f>HYPERLINK("https://www.nba.com/game/...-vs-...-0022300257/play-by-play?watchFullGame=true", "LAC vs DEN - Q4 00:19.00")</f>
        <v>LAC vs DEN - Q4 00:19.00</v>
      </c>
      <c r="M108">
        <v>1.75</v>
      </c>
      <c r="N108">
        <v>6.36</v>
      </c>
      <c r="O108">
        <v>53.19</v>
      </c>
      <c r="P108">
        <v>-16</v>
      </c>
      <c r="Q108">
        <v>7</v>
      </c>
      <c r="R108">
        <v>6</v>
      </c>
      <c r="S108">
        <v>53</v>
      </c>
      <c r="T108" t="s">
        <v>73</v>
      </c>
    </row>
    <row r="109" spans="1:20" x14ac:dyDescent="0.25">
      <c r="A109">
        <v>22000788</v>
      </c>
      <c r="B109" t="s">
        <v>4</v>
      </c>
      <c r="C109" t="s">
        <v>65</v>
      </c>
      <c r="D109">
        <v>4</v>
      </c>
      <c r="E109">
        <v>4</v>
      </c>
      <c r="F109">
        <v>0</v>
      </c>
      <c r="G109">
        <v>1</v>
      </c>
      <c r="H109" s="1">
        <v>7.3611111111111108E-3</v>
      </c>
      <c r="I109">
        <v>2020</v>
      </c>
      <c r="J109" t="s">
        <v>59</v>
      </c>
      <c r="K109" s="2" t="str">
        <f>HYPERLINK("https://www.nba.com/stats/events?CFID=&amp;CFPARAMS=&amp;GameEventID=12&amp;GameID=0022000788&amp;Season=2020-21&amp;flag=1&amp;title=I.%20Zubac%20cutting%20DUNK%20(4%20PTS)%20(K.%20Leonard%201%20AST)", "I. Zubac cutting DUNK (4 PTS) (K. Leonard 1 AST)")</f>
        <v>I. Zubac cutting DUNK (4 PTS) (K. Leonard 1 AST)</v>
      </c>
      <c r="L109" s="2" t="str">
        <f>HYPERLINK("https://www.nba.com/game/...-vs-...-0022000788/play-by-play?watchFullGame=true", "LAC vs PHX - Q1 10:36.00")</f>
        <v>LAC vs PHX - Q1 10:36.00</v>
      </c>
      <c r="M109">
        <v>1.03</v>
      </c>
      <c r="N109">
        <v>6.13</v>
      </c>
      <c r="O109">
        <v>51.78</v>
      </c>
      <c r="P109">
        <v>-9</v>
      </c>
      <c r="Q109">
        <v>5</v>
      </c>
      <c r="R109">
        <v>6</v>
      </c>
      <c r="S109">
        <v>51</v>
      </c>
      <c r="T109" t="s">
        <v>73</v>
      </c>
    </row>
    <row r="110" spans="1:20" x14ac:dyDescent="0.25">
      <c r="A110">
        <v>22200043</v>
      </c>
      <c r="B110" t="s">
        <v>4</v>
      </c>
      <c r="C110" t="s">
        <v>65</v>
      </c>
      <c r="D110">
        <v>33</v>
      </c>
      <c r="E110">
        <v>46</v>
      </c>
      <c r="F110">
        <v>13</v>
      </c>
      <c r="G110">
        <v>2</v>
      </c>
      <c r="H110" s="1">
        <v>2.4074074074074076E-3</v>
      </c>
      <c r="I110">
        <v>2022</v>
      </c>
      <c r="J110" t="s">
        <v>59</v>
      </c>
      <c r="K110" s="2" t="str">
        <f>HYPERLINK("https://www.nba.com/stats/events?CFID=&amp;CFPARAMS=&amp;GameEventID=260&amp;GameID=0022200043&amp;Season=2022-23&amp;flag=1&amp;title=N.%20Powell%20running%20DUNK%20(8%20PTS)%20(K.%20Leonard%201%20AST)", "N. Powell running DUNK (8 PTS) (K. Leonard 1 AST)")</f>
        <v>N. Powell running DUNK (8 PTS) (K. Leonard 1 AST)</v>
      </c>
      <c r="L110" s="2" t="str">
        <f>HYPERLINK("https://www.nba.com/game/...-vs-...-0022200043/play-by-play?watchFullGame=true", "LAC vs PHX - Q2 03:28.00")</f>
        <v>LAC vs PHX - Q2 03:28.00</v>
      </c>
      <c r="M110">
        <v>1.1599999999999999</v>
      </c>
      <c r="N110">
        <v>6.75</v>
      </c>
      <c r="O110">
        <v>49.26</v>
      </c>
      <c r="P110">
        <v>4</v>
      </c>
      <c r="Q110">
        <v>11</v>
      </c>
      <c r="R110">
        <v>6</v>
      </c>
      <c r="S110">
        <v>49</v>
      </c>
      <c r="T110" t="s">
        <v>73</v>
      </c>
    </row>
    <row r="111" spans="1:20" x14ac:dyDescent="0.25">
      <c r="A111">
        <v>22300897</v>
      </c>
      <c r="B111" t="s">
        <v>4</v>
      </c>
      <c r="C111" t="s">
        <v>64</v>
      </c>
      <c r="D111">
        <v>74</v>
      </c>
      <c r="E111">
        <v>81</v>
      </c>
      <c r="F111">
        <v>7</v>
      </c>
      <c r="G111">
        <v>3</v>
      </c>
      <c r="H111" s="1">
        <v>1.7476851851851852E-3</v>
      </c>
      <c r="I111">
        <v>2023</v>
      </c>
      <c r="J111" t="s">
        <v>59</v>
      </c>
      <c r="K111" s="2" t="str">
        <f>HYPERLINK("https://www.nba.com/stats/events?CFID=&amp;CFPARAMS=&amp;GameEventID=415&amp;GameID=0022300897&amp;Season=2023-24&amp;flag=1&amp;title=D.%20Theis%20running%20Layup%20(6%20PTS)%20(K.%20Leonard%206%20AST)", "D. Theis running Layup (6 PTS) (K. Leonard 6 AST)")</f>
        <v>D. Theis running Layup (6 PTS) (K. Leonard 6 AST)</v>
      </c>
      <c r="L111" s="2" t="str">
        <f>HYPERLINK("https://www.nba.com/game/...-vs-...-0022300897/play-by-play?watchFullGame=true", "LAC vs HOU - Q3 02:31.00")</f>
        <v>LAC vs HOU - Q3 02:31.00</v>
      </c>
      <c r="M111">
        <v>2.76</v>
      </c>
      <c r="N111">
        <v>6.65</v>
      </c>
      <c r="O111">
        <v>44.85</v>
      </c>
      <c r="P111">
        <v>26</v>
      </c>
      <c r="Q111">
        <v>10</v>
      </c>
      <c r="R111">
        <v>6</v>
      </c>
      <c r="S111">
        <v>44</v>
      </c>
      <c r="T111" t="s">
        <v>73</v>
      </c>
    </row>
    <row r="112" spans="1:20" x14ac:dyDescent="0.25">
      <c r="A112">
        <v>22300897</v>
      </c>
      <c r="B112" t="s">
        <v>10</v>
      </c>
      <c r="C112" t="s">
        <v>9</v>
      </c>
      <c r="D112">
        <v>49</v>
      </c>
      <c r="E112">
        <v>60</v>
      </c>
      <c r="F112">
        <v>11</v>
      </c>
      <c r="G112">
        <v>3</v>
      </c>
      <c r="H112" s="1">
        <v>7.3148148148148148E-3</v>
      </c>
      <c r="I112">
        <v>2023</v>
      </c>
      <c r="J112" t="s">
        <v>59</v>
      </c>
      <c r="K112" s="2" t="str">
        <f>HYPERLINK("https://www.nba.com/stats/events?CFID=&amp;CFPARAMS=&amp;GameEventID=320&amp;GameID=0022300897&amp;Season=2023-24&amp;flag=1&amp;title=T.%20Mann%203PT%20%20(8%20PTS)%20(K.%20Leonard%203%20AST)", "T. Mann 3PT  (8 PTS) (K. Leonard 3 AST)")</f>
        <v>T. Mann 3PT  (8 PTS) (K. Leonard 3 AST)</v>
      </c>
      <c r="L112" s="2" t="str">
        <f>HYPERLINK("https://www.nba.com/game/...-vs-...-0022300897/play-by-play?watchFullGame=true", "LAC vs HOU - Q3 10:32.00")</f>
        <v>LAC vs HOU - Q3 10:32.00</v>
      </c>
      <c r="M112">
        <v>22.94</v>
      </c>
      <c r="N112">
        <v>6.52</v>
      </c>
      <c r="O112">
        <v>95.83</v>
      </c>
      <c r="P112">
        <v>-229</v>
      </c>
      <c r="Q112">
        <v>9</v>
      </c>
      <c r="R112">
        <v>6</v>
      </c>
      <c r="S112">
        <v>95</v>
      </c>
      <c r="T112" t="s">
        <v>73</v>
      </c>
    </row>
    <row r="113" spans="1:20" x14ac:dyDescent="0.25">
      <c r="A113">
        <v>22300235</v>
      </c>
      <c r="B113" t="s">
        <v>4</v>
      </c>
      <c r="C113" t="s">
        <v>64</v>
      </c>
      <c r="D113">
        <v>79</v>
      </c>
      <c r="E113">
        <v>64</v>
      </c>
      <c r="F113">
        <v>15</v>
      </c>
      <c r="G113">
        <v>3</v>
      </c>
      <c r="H113" s="1">
        <v>1.9444444444444444E-3</v>
      </c>
      <c r="I113">
        <v>2023</v>
      </c>
      <c r="J113" t="s">
        <v>59</v>
      </c>
      <c r="K113" s="2" t="str">
        <f>HYPERLINK("https://www.nba.com/stats/events?CFID=&amp;CFPARAMS=&amp;GameEventID=482&amp;GameID=0022300235&amp;Season=2023-24&amp;flag=1&amp;title=D.%20Theis%20Layup%20(4%20PTS)%20(K.%20Leonard%204%20AST)", "D. Theis Layup (4 PTS) (K. Leonard 4 AST)")</f>
        <v>D. Theis Layup (4 PTS) (K. Leonard 4 AST)</v>
      </c>
      <c r="L113" s="2" t="str">
        <f>HYPERLINK("https://www.nba.com/game/...-vs-...-0022300235/play-by-play?watchFullGame=true", "LAC vs SAS - Q3 02:48.00")</f>
        <v>LAC vs SAS - Q3 02:48.00</v>
      </c>
      <c r="M113">
        <v>2.86</v>
      </c>
      <c r="N113">
        <v>6.92</v>
      </c>
      <c r="O113">
        <v>55.15</v>
      </c>
      <c r="P113">
        <v>-26</v>
      </c>
      <c r="Q113">
        <v>13</v>
      </c>
      <c r="R113">
        <v>6</v>
      </c>
      <c r="S113">
        <v>55</v>
      </c>
      <c r="T113" t="s">
        <v>73</v>
      </c>
    </row>
    <row r="114" spans="1:20" x14ac:dyDescent="0.25">
      <c r="A114">
        <v>41900235</v>
      </c>
      <c r="B114" t="s">
        <v>4</v>
      </c>
      <c r="C114" t="s">
        <v>63</v>
      </c>
      <c r="D114">
        <v>69</v>
      </c>
      <c r="E114">
        <v>57</v>
      </c>
      <c r="F114">
        <v>12</v>
      </c>
      <c r="G114">
        <v>3</v>
      </c>
      <c r="H114" s="1">
        <v>3.6921296296296298E-3</v>
      </c>
      <c r="I114" t="s">
        <v>62</v>
      </c>
      <c r="J114" t="s">
        <v>59</v>
      </c>
      <c r="K114" s="2" t="str">
        <f>HYPERLINK("https://www.nba.com/stats/events?CFID=&amp;CFPARAMS=&amp;GameEventID=391&amp;GameID=0041900235&amp;Season=2019-20&amp;flag=1&amp;title=I.%20Zubac%20dunk%20(3%20PTS)%20(K.%20Leonard%204%20AST)", "I. Zubac dunk (3 PTS) (K. Leonard 4 AST)")</f>
        <v>I. Zubac dunk (3 PTS) (K. Leonard 4 AST)</v>
      </c>
      <c r="L114" s="2" t="str">
        <f>HYPERLINK("https://www.nba.com/game/...-vs-...-0041900235/play-by-play?watchFullGame=true", "LAC vs DEN - Q3 05:19.00")</f>
        <v>LAC vs DEN - Q3 05:19.00</v>
      </c>
      <c r="M114">
        <v>1.18</v>
      </c>
      <c r="N114">
        <v>6.26</v>
      </c>
      <c r="O114">
        <v>49.82</v>
      </c>
      <c r="P114">
        <v>1</v>
      </c>
      <c r="Q114">
        <v>6</v>
      </c>
      <c r="R114">
        <v>6</v>
      </c>
      <c r="S114">
        <v>49</v>
      </c>
      <c r="T114" t="s">
        <v>73</v>
      </c>
    </row>
    <row r="115" spans="1:20" x14ac:dyDescent="0.25">
      <c r="A115">
        <v>22301003</v>
      </c>
      <c r="B115" t="s">
        <v>4</v>
      </c>
      <c r="C115" t="s">
        <v>64</v>
      </c>
      <c r="D115">
        <v>62</v>
      </c>
      <c r="E115">
        <v>52</v>
      </c>
      <c r="F115">
        <v>10</v>
      </c>
      <c r="G115">
        <v>3</v>
      </c>
      <c r="H115" s="1">
        <v>7.0486111111111114E-3</v>
      </c>
      <c r="I115">
        <v>2023</v>
      </c>
      <c r="J115" t="s">
        <v>59</v>
      </c>
      <c r="K115" s="2" t="str">
        <f>HYPERLINK("https://www.nba.com/stats/events?CFID=&amp;CFPARAMS=&amp;GameEventID=282&amp;GameID=0022301003&amp;Season=2023-24&amp;flag=1&amp;title=A.%20Coffey%20running%20reverse%20Layup%20(4%20PTS)%20(K.%20Leonard%202%20AST)", "A. Coffey running reverse Layup (4 PTS) (K. Leonard 2 AST)")</f>
        <v>A. Coffey running reverse Layup (4 PTS) (K. Leonard 2 AST)</v>
      </c>
      <c r="L115" s="2" t="str">
        <f>HYPERLINK("https://www.nba.com/game/...-vs-...-0022301003/play-by-play?watchFullGame=true", "LAC vs POR - Q3 10:09.00")</f>
        <v>LAC vs POR - Q3 10:09.00</v>
      </c>
      <c r="M115">
        <v>1.78</v>
      </c>
      <c r="N115">
        <v>6.65</v>
      </c>
      <c r="O115">
        <v>52.94</v>
      </c>
      <c r="P115">
        <v>-15</v>
      </c>
      <c r="Q115">
        <v>10</v>
      </c>
      <c r="R115">
        <v>6</v>
      </c>
      <c r="S115">
        <v>52</v>
      </c>
      <c r="T115" t="s">
        <v>73</v>
      </c>
    </row>
    <row r="116" spans="1:20" x14ac:dyDescent="0.25">
      <c r="A116">
        <v>22200509</v>
      </c>
      <c r="B116" t="s">
        <v>4</v>
      </c>
      <c r="C116" t="s">
        <v>65</v>
      </c>
      <c r="D116">
        <v>62</v>
      </c>
      <c r="E116">
        <v>58</v>
      </c>
      <c r="F116">
        <v>4</v>
      </c>
      <c r="G116">
        <v>3</v>
      </c>
      <c r="H116" s="1">
        <v>7.8935185185185185E-3</v>
      </c>
      <c r="I116">
        <v>2022</v>
      </c>
      <c r="J116" t="s">
        <v>59</v>
      </c>
      <c r="K116" s="2" t="str">
        <f>HYPERLINK("https://www.nba.com/stats/events?CFID=&amp;CFPARAMS=&amp;GameEventID=329&amp;GameID=0022200509&amp;Season=2022-23&amp;flag=1&amp;title=I.%20Zubac%20driving%20DUNK%20(11%20PTS)%20(K.%20Leonard%204%20AST)", "I. Zubac driving DUNK (11 PTS) (K. Leonard 4 AST)")</f>
        <v>I. Zubac driving DUNK (11 PTS) (K. Leonard 4 AST)</v>
      </c>
      <c r="L116" s="2" t="str">
        <f>HYPERLINK("https://www.nba.com/game/...-vs-...-0022200509/play-by-play?watchFullGame=true", "LAC vs TOR - Q3 11:22.00")</f>
        <v>LAC vs TOR - Q3 11:22.00</v>
      </c>
      <c r="M116">
        <v>0.95</v>
      </c>
      <c r="N116">
        <v>6.52</v>
      </c>
      <c r="O116">
        <v>49.26</v>
      </c>
      <c r="P116">
        <v>4</v>
      </c>
      <c r="Q116">
        <v>9</v>
      </c>
      <c r="R116">
        <v>6</v>
      </c>
      <c r="S116">
        <v>49</v>
      </c>
      <c r="T116" t="s">
        <v>73</v>
      </c>
    </row>
    <row r="117" spans="1:20" x14ac:dyDescent="0.25">
      <c r="A117">
        <v>22200745</v>
      </c>
      <c r="B117" t="s">
        <v>10</v>
      </c>
      <c r="C117" t="s">
        <v>9</v>
      </c>
      <c r="D117">
        <v>118</v>
      </c>
      <c r="E117">
        <v>109</v>
      </c>
      <c r="F117">
        <v>9</v>
      </c>
      <c r="G117">
        <v>4</v>
      </c>
      <c r="H117" s="1">
        <v>5.7060185185185187E-4</v>
      </c>
      <c r="I117">
        <v>2022</v>
      </c>
      <c r="J117" t="s">
        <v>59</v>
      </c>
      <c r="K117" s="2" t="str">
        <f>HYPERLINK("https://www.nba.com/stats/events?CFID=&amp;CFPARAMS=&amp;GameEventID=575&amp;GameID=0022200745&amp;Season=2022-23&amp;flag=1&amp;title=N.%20Batum%203PT%20%20(8%20PTS)%20(K.%20Leonard%204%20AST)", "N. Batum 3PT  (8 PTS) (K. Leonard 4 AST)")</f>
        <v>N. Batum 3PT  (8 PTS) (K. Leonard 4 AST)</v>
      </c>
      <c r="L117" s="2" t="str">
        <f>HYPERLINK("https://www.nba.com/game/...-vs-...-0022200745/play-by-play?watchFullGame=true", "LAC vs ATL - Q4 00:49.30")</f>
        <v>LAC vs ATL - Q4 00:49.30</v>
      </c>
      <c r="M117">
        <v>22.44</v>
      </c>
      <c r="N117">
        <v>6.26</v>
      </c>
      <c r="O117">
        <v>5.15</v>
      </c>
      <c r="P117">
        <v>224</v>
      </c>
      <c r="Q117">
        <v>6</v>
      </c>
      <c r="R117">
        <v>6</v>
      </c>
      <c r="S117">
        <v>5</v>
      </c>
      <c r="T117" t="s">
        <v>73</v>
      </c>
    </row>
    <row r="118" spans="1:20" x14ac:dyDescent="0.25">
      <c r="A118">
        <v>22300372</v>
      </c>
      <c r="B118" t="s">
        <v>10</v>
      </c>
      <c r="C118" t="s">
        <v>9</v>
      </c>
      <c r="D118">
        <v>109</v>
      </c>
      <c r="E118">
        <v>108</v>
      </c>
      <c r="F118">
        <v>1</v>
      </c>
      <c r="G118">
        <v>4</v>
      </c>
      <c r="H118" s="1">
        <v>2.4652777777777776E-3</v>
      </c>
      <c r="I118">
        <v>2023</v>
      </c>
      <c r="J118" t="s">
        <v>59</v>
      </c>
      <c r="K118" s="2" t="str">
        <f>HYPERLINK("https://www.nba.com/stats/events?CFID=&amp;CFPARAMS=&amp;GameEventID=575&amp;GameID=0022300372&amp;Season=2023-24&amp;flag=1&amp;title=A.%20Coffey%203PT%20%20(12%20PTS)%20(K.%20Leonard%204%20AST)", "A. Coffey 3PT  (12 PTS) (K. Leonard 4 AST)")</f>
        <v>A. Coffey 3PT  (12 PTS) (K. Leonard 4 AST)</v>
      </c>
      <c r="L118" s="2" t="str">
        <f>HYPERLINK("https://www.nba.com/game/...-vs-...-0022300372/play-by-play?watchFullGame=true", "LAC vs DAL - Q4 03:33.00")</f>
        <v>LAC vs DAL - Q4 03:33.00</v>
      </c>
      <c r="M118">
        <v>23.17</v>
      </c>
      <c r="N118">
        <v>6.39</v>
      </c>
      <c r="O118">
        <v>96.32</v>
      </c>
      <c r="P118">
        <v>-232</v>
      </c>
      <c r="Q118">
        <v>8</v>
      </c>
      <c r="R118">
        <v>6</v>
      </c>
      <c r="S118">
        <v>96</v>
      </c>
      <c r="T118" t="s">
        <v>73</v>
      </c>
    </row>
    <row r="119" spans="1:20" x14ac:dyDescent="0.25">
      <c r="A119">
        <v>41900153</v>
      </c>
      <c r="B119" t="s">
        <v>4</v>
      </c>
      <c r="C119" t="s">
        <v>69</v>
      </c>
      <c r="D119">
        <v>40</v>
      </c>
      <c r="E119">
        <v>35</v>
      </c>
      <c r="F119">
        <v>5</v>
      </c>
      <c r="G119">
        <v>2</v>
      </c>
      <c r="H119" s="1">
        <v>5.2546296296296299E-3</v>
      </c>
      <c r="I119" t="s">
        <v>68</v>
      </c>
      <c r="J119" t="s">
        <v>59</v>
      </c>
      <c r="K119" s="2" t="str">
        <f>HYPERLINK("https://www.nba.com/stats/events?CFID=&amp;CFPARAMS=&amp;GameEventID=212&amp;GameID=0041900153&amp;Season=2019-20&amp;flag=1&amp;title=I.%20Zubac%20layup%20(6%20PTS)%20(K.%20Leonard%201%20AST)", "I. Zubac layup (6 PTS) (K. Leonard 1 AST)")</f>
        <v>I. Zubac layup (6 PTS) (K. Leonard 1 AST)</v>
      </c>
      <c r="L119" s="2" t="str">
        <f>HYPERLINK("https://www.nba.com/game/...-vs-...-0041900153/play-by-play?watchFullGame=true", "LAC vs DAL - Q2 07:34.00")</f>
        <v>LAC vs DAL - Q2 07:34.00</v>
      </c>
      <c r="M119">
        <v>2.25</v>
      </c>
      <c r="N119">
        <v>6.65</v>
      </c>
      <c r="O119">
        <v>53.26</v>
      </c>
      <c r="P119">
        <v>-16</v>
      </c>
      <c r="Q119">
        <v>10</v>
      </c>
      <c r="R119">
        <v>6</v>
      </c>
      <c r="S119">
        <v>53</v>
      </c>
      <c r="T119" t="s">
        <v>73</v>
      </c>
    </row>
    <row r="120" spans="1:20" x14ac:dyDescent="0.25">
      <c r="A120">
        <v>22301028</v>
      </c>
      <c r="B120" t="s">
        <v>4</v>
      </c>
      <c r="C120" t="s">
        <v>64</v>
      </c>
      <c r="D120">
        <v>81</v>
      </c>
      <c r="E120">
        <v>86</v>
      </c>
      <c r="F120">
        <v>5</v>
      </c>
      <c r="G120">
        <v>3</v>
      </c>
      <c r="H120" s="1">
        <v>7.7546296296296293E-4</v>
      </c>
      <c r="I120">
        <v>2023</v>
      </c>
      <c r="J120" t="s">
        <v>59</v>
      </c>
      <c r="K120" s="2" t="str">
        <f>HYPERLINK("https://www.nba.com/stats/events?CFID=&amp;CFPARAMS=&amp;GameEventID=413&amp;GameID=0022301028&amp;Season=2023-24&amp;flag=1&amp;title=N.%20Powell%20driving%20Layup%20(12%20PTS)%20(K.%20Leonard%203%20AST)", "N. Powell driving Layup (12 PTS) (K. Leonard 3 AST)")</f>
        <v>N. Powell driving Layup (12 PTS) (K. Leonard 3 AST)</v>
      </c>
      <c r="L120" s="2" t="str">
        <f>HYPERLINK("https://www.nba.com/game/...-vs-...-0022301028/play-by-play?watchFullGame=true", "LAC vs PHI - Q3 01:07.00")</f>
        <v>LAC vs PHI - Q3 01:07.00</v>
      </c>
      <c r="M120">
        <v>2.41</v>
      </c>
      <c r="N120">
        <v>6.62</v>
      </c>
      <c r="O120">
        <v>45.59</v>
      </c>
      <c r="P120">
        <v>22</v>
      </c>
      <c r="Q120">
        <v>10</v>
      </c>
      <c r="R120">
        <v>6</v>
      </c>
      <c r="S120">
        <v>45</v>
      </c>
      <c r="T120" t="s">
        <v>73</v>
      </c>
    </row>
    <row r="121" spans="1:20" x14ac:dyDescent="0.25">
      <c r="A121">
        <v>22001019</v>
      </c>
      <c r="B121" t="s">
        <v>4</v>
      </c>
      <c r="C121" t="s">
        <v>64</v>
      </c>
      <c r="D121">
        <v>62</v>
      </c>
      <c r="E121">
        <v>61</v>
      </c>
      <c r="F121">
        <v>1</v>
      </c>
      <c r="G121">
        <v>3</v>
      </c>
      <c r="H121" s="1">
        <v>4.8726851851851848E-3</v>
      </c>
      <c r="I121">
        <v>2020</v>
      </c>
      <c r="J121" t="s">
        <v>59</v>
      </c>
      <c r="K121" s="2" t="str">
        <f>HYPERLINK("https://www.nba.com/stats/events?CFID=&amp;CFPARAMS=&amp;GameEventID=347&amp;GameID=0022001019&amp;Season=2020-21&amp;flag=1&amp;title=R.%20Jackson%20running%20Layup%20(12%20PTS)%20(K.%20Leonard%202%20AST)", "R. Jackson running Layup (12 PTS) (K. Leonard 2 AST)")</f>
        <v>R. Jackson running Layup (12 PTS) (K. Leonard 2 AST)</v>
      </c>
      <c r="L121" s="2" t="str">
        <f>HYPERLINK("https://www.nba.com/game/...-vs-...-0022001019/play-by-play?watchFullGame=true", "LAC vs NYK - Q3 07:01.00")</f>
        <v>LAC vs NYK - Q3 07:01.00</v>
      </c>
      <c r="M121">
        <v>1.22</v>
      </c>
      <c r="N121">
        <v>6.39</v>
      </c>
      <c r="O121">
        <v>48.11</v>
      </c>
      <c r="P121">
        <v>9</v>
      </c>
      <c r="Q121">
        <v>8</v>
      </c>
      <c r="R121">
        <v>6</v>
      </c>
      <c r="S121">
        <v>48</v>
      </c>
      <c r="T121" t="s">
        <v>73</v>
      </c>
    </row>
    <row r="122" spans="1:20" x14ac:dyDescent="0.25">
      <c r="A122">
        <v>22200902</v>
      </c>
      <c r="B122" t="s">
        <v>10</v>
      </c>
      <c r="C122" t="s">
        <v>9</v>
      </c>
      <c r="D122">
        <v>139</v>
      </c>
      <c r="E122">
        <v>129</v>
      </c>
      <c r="F122">
        <v>10</v>
      </c>
      <c r="G122">
        <v>4</v>
      </c>
      <c r="H122" s="1">
        <v>4.5254629629629629E-3</v>
      </c>
      <c r="I122">
        <v>2022</v>
      </c>
      <c r="J122" t="s">
        <v>59</v>
      </c>
      <c r="K122" s="2" t="str">
        <f>HYPERLINK("https://www.nba.com/stats/events?CFID=&amp;CFPARAMS=&amp;GameEventID=570&amp;GameID=0022200902&amp;Season=2022-23&amp;flag=1&amp;title=N.%20Powell%203PT%20%20(19%20PTS)%20(K.%20Leonard%203%20AST)", "N. Powell 3PT  (19 PTS) (K. Leonard 3 AST)")</f>
        <v>N. Powell 3PT  (19 PTS) (K. Leonard 3 AST)</v>
      </c>
      <c r="L122" s="2" t="str">
        <f>HYPERLINK("https://www.nba.com/game/...-vs-...-0022200902/play-by-play?watchFullGame=true", "LAC vs SAC - Q4 06:31.00")</f>
        <v>LAC vs SAC - Q4 06:31.00</v>
      </c>
      <c r="M122">
        <v>22.95</v>
      </c>
      <c r="N122">
        <v>6.75</v>
      </c>
      <c r="O122">
        <v>4.17</v>
      </c>
      <c r="P122">
        <v>229</v>
      </c>
      <c r="Q122">
        <v>11</v>
      </c>
      <c r="R122">
        <v>6</v>
      </c>
      <c r="S122">
        <v>4</v>
      </c>
      <c r="T122" t="s">
        <v>73</v>
      </c>
    </row>
    <row r="123" spans="1:20" x14ac:dyDescent="0.25">
      <c r="A123">
        <v>42000173</v>
      </c>
      <c r="B123" t="s">
        <v>4</v>
      </c>
      <c r="C123" t="s">
        <v>65</v>
      </c>
      <c r="D123">
        <v>76</v>
      </c>
      <c r="E123">
        <v>75</v>
      </c>
      <c r="F123">
        <v>1</v>
      </c>
      <c r="G123">
        <v>3</v>
      </c>
      <c r="H123" s="1">
        <v>5.6249999999999998E-3</v>
      </c>
      <c r="I123" t="s">
        <v>66</v>
      </c>
      <c r="J123" t="s">
        <v>59</v>
      </c>
      <c r="K123" s="2" t="str">
        <f>HYPERLINK("https://www.nba.com/stats/events?CFID=&amp;CFPARAMS=&amp;GameEventID=326&amp;GameID=0042000173&amp;Season=2020-21&amp;flag=1&amp;title=N.%20Batum%20cutting%20DUNK%20(6%20PTS)%20(K.%20Leonard%201%20AST)", "N. Batum cutting DUNK (6 PTS) (K. Leonard 1 AST)")</f>
        <v>N. Batum cutting DUNK (6 PTS) (K. Leonard 1 AST)</v>
      </c>
      <c r="L123" s="2" t="str">
        <f>HYPERLINK("https://www.nba.com/game/...-vs-...-0042000173/play-by-play?watchFullGame=true", "LAC vs DAL - Q3 08:06.00")</f>
        <v>LAC vs DAL - Q3 08:06.00</v>
      </c>
      <c r="M123">
        <v>0.57999999999999996</v>
      </c>
      <c r="N123">
        <v>6.13</v>
      </c>
      <c r="O123">
        <v>50.56</v>
      </c>
      <c r="P123">
        <v>6</v>
      </c>
      <c r="Q123">
        <v>50</v>
      </c>
      <c r="R123">
        <v>6</v>
      </c>
      <c r="S123">
        <v>50</v>
      </c>
      <c r="T123" t="s">
        <v>73</v>
      </c>
    </row>
    <row r="124" spans="1:20" x14ac:dyDescent="0.25">
      <c r="A124">
        <v>22300372</v>
      </c>
      <c r="B124" t="s">
        <v>4</v>
      </c>
      <c r="C124" t="s">
        <v>64</v>
      </c>
      <c r="D124">
        <v>75</v>
      </c>
      <c r="E124">
        <v>71</v>
      </c>
      <c r="F124">
        <v>4</v>
      </c>
      <c r="G124">
        <v>3</v>
      </c>
      <c r="H124" s="1">
        <v>4.178240740740741E-3</v>
      </c>
      <c r="I124">
        <v>2023</v>
      </c>
      <c r="J124" t="s">
        <v>59</v>
      </c>
      <c r="K124" s="2" t="str">
        <f>HYPERLINK("https://www.nba.com/stats/events?CFID=&amp;CFPARAMS=&amp;GameEventID=389&amp;GameID=0022300372&amp;Season=2023-24&amp;flag=1&amp;title=R.%20Westbrook%20running%20finger%20roll%20Layup%20(6%20PTS)%20(K.%20Leonard%203%20AST)", "R. Westbrook running finger roll Layup (6 PTS) (K. Leonard 3 AST)")</f>
        <v>R. Westbrook running finger roll Layup (6 PTS) (K. Leonard 3 AST)</v>
      </c>
      <c r="L124" s="2" t="str">
        <f>HYPERLINK("https://www.nba.com/game/...-vs-...-0022300372/play-by-play?watchFullGame=true", "LAC vs DAL - Q3 06:01.00")</f>
        <v>LAC vs DAL - Q3 06:01.00</v>
      </c>
      <c r="M124">
        <v>1</v>
      </c>
      <c r="N124">
        <v>6.13</v>
      </c>
      <c r="O124">
        <v>51.72</v>
      </c>
      <c r="P124">
        <v>-9</v>
      </c>
      <c r="Q124">
        <v>5</v>
      </c>
      <c r="R124">
        <v>6</v>
      </c>
      <c r="S124">
        <v>51</v>
      </c>
      <c r="T124" t="s">
        <v>73</v>
      </c>
    </row>
    <row r="125" spans="1:20" x14ac:dyDescent="0.25">
      <c r="A125">
        <v>21900115</v>
      </c>
      <c r="B125" t="s">
        <v>4</v>
      </c>
      <c r="C125" t="s">
        <v>63</v>
      </c>
      <c r="D125">
        <v>15</v>
      </c>
      <c r="E125">
        <v>9</v>
      </c>
      <c r="F125">
        <v>6</v>
      </c>
      <c r="G125">
        <v>1</v>
      </c>
      <c r="H125" s="1">
        <v>3.9814814814814817E-3</v>
      </c>
      <c r="I125">
        <v>2019</v>
      </c>
      <c r="J125" t="s">
        <v>59</v>
      </c>
      <c r="K125" s="2" t="str">
        <f>HYPERLINK("https://www.nba.com/stats/events?CFID=&amp;CFPARAMS=&amp;GameEventID=81&amp;GameID=0021900115&amp;Season=2019-20&amp;flag=1&amp;title=[LAC]%20Zubac%20dunk:%20Made%20(6%20PTS)%20assist:%20Leonard%20(2%20AST)", "[LAC] Zubac dunk: Made (6 PTS) assist: Leonard (2 AST)")</f>
        <v>[LAC] Zubac dunk: Made (6 PTS) assist: Leonard (2 AST)</v>
      </c>
      <c r="L125" s="2" t="str">
        <f>HYPERLINK("https://www.nba.com/game/...-vs-...-0021900115/play-by-play?watchFullGame=true", "LAC vs POR - Q1 05:44.00")</f>
        <v>LAC vs POR - Q1 05:44.00</v>
      </c>
      <c r="M125">
        <v>2.0699999999999998</v>
      </c>
      <c r="N125">
        <v>6.09</v>
      </c>
      <c r="O125">
        <v>53.61</v>
      </c>
      <c r="P125">
        <v>-18</v>
      </c>
      <c r="Q125">
        <v>5</v>
      </c>
      <c r="R125">
        <v>6</v>
      </c>
      <c r="S125">
        <v>53</v>
      </c>
      <c r="T125" t="s">
        <v>73</v>
      </c>
    </row>
    <row r="126" spans="1:20" x14ac:dyDescent="0.25">
      <c r="A126">
        <v>21900359</v>
      </c>
      <c r="B126" t="s">
        <v>4</v>
      </c>
      <c r="C126" t="s">
        <v>63</v>
      </c>
      <c r="D126">
        <v>47</v>
      </c>
      <c r="E126">
        <v>38</v>
      </c>
      <c r="F126">
        <v>9</v>
      </c>
      <c r="G126">
        <v>2</v>
      </c>
      <c r="H126" s="1">
        <v>2.8703703703703703E-3</v>
      </c>
      <c r="I126">
        <v>2019</v>
      </c>
      <c r="J126" t="s">
        <v>59</v>
      </c>
      <c r="K126" s="2" t="str">
        <f>HYPERLINK("https://www.nba.com/stats/events?CFID=&amp;CFPARAMS=&amp;GameEventID=293&amp;GameID=0021900359&amp;Season=2019-20&amp;flag=1&amp;title=I.%20Zubac%20dunk%20(3%20PTS)%20(K.%20Leonard%201%20AST)", "I. Zubac dunk (3 PTS) (K. Leonard 1 AST)")</f>
        <v>I. Zubac dunk (3 PTS) (K. Leonard 1 AST)</v>
      </c>
      <c r="L126" s="2" t="str">
        <f>HYPERLINK("https://www.nba.com/game/...-vs-...-0021900359/play-by-play?watchFullGame=true", "LAC vs TOR - Q2 04:08.00")</f>
        <v>LAC vs TOR - Q2 04:08.00</v>
      </c>
      <c r="M126">
        <v>1.18</v>
      </c>
      <c r="N126">
        <v>6.13</v>
      </c>
      <c r="O126">
        <v>51.05</v>
      </c>
      <c r="P126">
        <v>-5</v>
      </c>
      <c r="Q126">
        <v>5</v>
      </c>
      <c r="R126">
        <v>6</v>
      </c>
      <c r="S126">
        <v>51</v>
      </c>
      <c r="T126" t="s">
        <v>73</v>
      </c>
    </row>
    <row r="127" spans="1:20" x14ac:dyDescent="0.25">
      <c r="A127">
        <v>21901258</v>
      </c>
      <c r="B127" t="s">
        <v>4</v>
      </c>
      <c r="C127" t="s">
        <v>69</v>
      </c>
      <c r="D127">
        <v>4</v>
      </c>
      <c r="E127">
        <v>1</v>
      </c>
      <c r="F127">
        <v>3</v>
      </c>
      <c r="G127">
        <v>1</v>
      </c>
      <c r="H127" s="1">
        <v>7.3148148148148148E-3</v>
      </c>
      <c r="I127">
        <v>2019</v>
      </c>
      <c r="J127" t="s">
        <v>59</v>
      </c>
      <c r="K127" s="2" t="str">
        <f>HYPERLINK("https://www.nba.com/stats/events?CFID=&amp;CFPARAMS=&amp;GameEventID=23&amp;GameID=0021901258&amp;Season=2019-20&amp;flag=1&amp;title=M.%20Morris%20Sr.%20layup%20(2%20PTS)%20(K.%20Leonard%201%20AST)", "M. Morris Sr. layup (2 PTS) (K. Leonard 1 AST)")</f>
        <v>M. Morris Sr. layup (2 PTS) (K. Leonard 1 AST)</v>
      </c>
      <c r="L127" s="2" t="str">
        <f>HYPERLINK("https://www.nba.com/game/...-vs-...-0021901258/play-by-play?watchFullGame=true", "LAC vs PHX - Q1 10:32.00")</f>
        <v>LAC vs PHX - Q1 10:32.00</v>
      </c>
      <c r="M127">
        <v>1.93</v>
      </c>
      <c r="N127">
        <v>6.78</v>
      </c>
      <c r="O127">
        <v>48.11</v>
      </c>
      <c r="P127">
        <v>9</v>
      </c>
      <c r="Q127">
        <v>11</v>
      </c>
      <c r="R127">
        <v>6</v>
      </c>
      <c r="S127">
        <v>48</v>
      </c>
      <c r="T127" t="s">
        <v>73</v>
      </c>
    </row>
    <row r="128" spans="1:20" x14ac:dyDescent="0.25">
      <c r="A128">
        <v>21900016</v>
      </c>
      <c r="B128" t="s">
        <v>4</v>
      </c>
      <c r="C128" t="s">
        <v>63</v>
      </c>
      <c r="D128">
        <v>41</v>
      </c>
      <c r="E128">
        <v>32</v>
      </c>
      <c r="F128">
        <v>9</v>
      </c>
      <c r="G128">
        <v>2</v>
      </c>
      <c r="H128" s="1">
        <v>7.2800925925925923E-3</v>
      </c>
      <c r="I128">
        <v>2019</v>
      </c>
      <c r="J128" t="s">
        <v>59</v>
      </c>
      <c r="K128" s="2" t="str">
        <f>HYPERLINK("https://www.nba.com/stats/events?CFID=&amp;CFPARAMS=&amp;GameEventID=193&amp;GameID=0021900016&amp;Season=2019-20&amp;flag=1&amp;title=[LAC]%20Harrell%20dunk:%20Made%20(6%20PTS)%20assist:%20Leonard%20(3%20AST)", "[LAC] Harrell dunk: Made (6 PTS) assist: Leonard (3 AST)")</f>
        <v>[LAC] Harrell dunk: Made (6 PTS) assist: Leonard (3 AST)</v>
      </c>
      <c r="L128" s="2" t="str">
        <f>HYPERLINK("https://www.nba.com/game/...-vs-...-0021900016/play-by-play?watchFullGame=true", "LAC vs GSW - Q2 10:29.00")</f>
        <v>LAC vs GSW - Q2 10:29.00</v>
      </c>
      <c r="M128">
        <v>1.8</v>
      </c>
      <c r="N128">
        <v>6.92</v>
      </c>
      <c r="O128">
        <v>49.82</v>
      </c>
      <c r="P128">
        <v>1</v>
      </c>
      <c r="Q128">
        <v>13</v>
      </c>
      <c r="R128">
        <v>6</v>
      </c>
      <c r="S128">
        <v>49</v>
      </c>
      <c r="T128" t="s">
        <v>73</v>
      </c>
    </row>
    <row r="129" spans="1:20" x14ac:dyDescent="0.25">
      <c r="A129">
        <v>41900156</v>
      </c>
      <c r="B129" t="s">
        <v>4</v>
      </c>
      <c r="C129" t="s">
        <v>69</v>
      </c>
      <c r="D129">
        <v>12</v>
      </c>
      <c r="E129">
        <v>7</v>
      </c>
      <c r="F129">
        <v>5</v>
      </c>
      <c r="G129">
        <v>1</v>
      </c>
      <c r="H129" s="1">
        <v>5.115740740740741E-3</v>
      </c>
      <c r="I129" t="s">
        <v>68</v>
      </c>
      <c r="J129" t="s">
        <v>59</v>
      </c>
      <c r="K129" s="2" t="str">
        <f>HYPERLINK("https://www.nba.com/stats/events?CFID=&amp;CFPARAMS=&amp;GameEventID=51&amp;GameID=0041900156&amp;Season=2019-20&amp;flag=1&amp;title=I.%20Zubac%20layup%20(2%20PTS)%20(K.%20Leonard%203%20AST)", "I. Zubac layup (2 PTS) (K. Leonard 3 AST)")</f>
        <v>I. Zubac layup (2 PTS) (K. Leonard 3 AST)</v>
      </c>
      <c r="L129" s="2" t="str">
        <f>HYPERLINK("https://www.nba.com/game/...-vs-...-0041900156/play-by-play?watchFullGame=true", "LAC vs DAL - Q1 07:22.00")</f>
        <v>LAC vs DAL - Q1 07:22.00</v>
      </c>
      <c r="M129">
        <v>1.31</v>
      </c>
      <c r="N129">
        <v>6.39</v>
      </c>
      <c r="O129">
        <v>49.82</v>
      </c>
      <c r="P129">
        <v>1</v>
      </c>
      <c r="Q129">
        <v>8</v>
      </c>
      <c r="R129">
        <v>6</v>
      </c>
      <c r="S129">
        <v>49</v>
      </c>
      <c r="T129" t="s">
        <v>73</v>
      </c>
    </row>
    <row r="130" spans="1:20" x14ac:dyDescent="0.25">
      <c r="A130">
        <v>41900233</v>
      </c>
      <c r="B130" t="s">
        <v>4</v>
      </c>
      <c r="C130" t="s">
        <v>69</v>
      </c>
      <c r="D130">
        <v>9</v>
      </c>
      <c r="E130">
        <v>10</v>
      </c>
      <c r="F130">
        <v>1</v>
      </c>
      <c r="G130">
        <v>1</v>
      </c>
      <c r="H130" s="1">
        <v>5.5324074074074078E-3</v>
      </c>
      <c r="I130" t="s">
        <v>62</v>
      </c>
      <c r="J130" t="s">
        <v>59</v>
      </c>
      <c r="K130" s="2" t="str">
        <f>HYPERLINK("https://www.nba.com/stats/events?CFID=&amp;CFPARAMS=&amp;GameEventID=42&amp;GameID=0041900233&amp;Season=2019-20&amp;flag=1&amp;title=P.%20Beverley%20layup%20(5%20PTS)%20(K.%20Leonard%202%20AST)", "P. Beverley layup (5 PTS) (K. Leonard 2 AST)")</f>
        <v>P. Beverley layup (5 PTS) (K. Leonard 2 AST)</v>
      </c>
      <c r="L130" s="2" t="str">
        <f>HYPERLINK("https://www.nba.com/game/...-vs-...-0041900233/play-by-play?watchFullGame=true", "LAC vs DEN - Q1 07:58.00")</f>
        <v>LAC vs DEN - Q1 07:58.00</v>
      </c>
      <c r="M130">
        <v>2.12</v>
      </c>
      <c r="N130">
        <v>6.65</v>
      </c>
      <c r="O130">
        <v>47.13</v>
      </c>
      <c r="P130">
        <v>14</v>
      </c>
      <c r="Q130">
        <v>10</v>
      </c>
      <c r="R130">
        <v>6</v>
      </c>
      <c r="S130">
        <v>47</v>
      </c>
      <c r="T130" t="s">
        <v>73</v>
      </c>
    </row>
    <row r="131" spans="1:20" x14ac:dyDescent="0.25">
      <c r="A131">
        <v>42000222</v>
      </c>
      <c r="B131" t="s">
        <v>4</v>
      </c>
      <c r="C131" t="s">
        <v>64</v>
      </c>
      <c r="D131">
        <v>21</v>
      </c>
      <c r="E131">
        <v>24</v>
      </c>
      <c r="F131">
        <v>3</v>
      </c>
      <c r="G131">
        <v>1</v>
      </c>
      <c r="H131" s="1">
        <v>1.9097222222222222E-3</v>
      </c>
      <c r="I131" t="s">
        <v>71</v>
      </c>
      <c r="J131" t="s">
        <v>59</v>
      </c>
      <c r="K131" s="2" t="str">
        <f>HYPERLINK("https://www.nba.com/stats/events?CFID=&amp;CFPARAMS=&amp;GameEventID=98&amp;GameID=0042000222&amp;Season=2020-21&amp;flag=1&amp;title=D.%20Cousins%20driving%20Layup%20(4%20PTS)%20(K.%20Leonard%202%20AST)", "D. Cousins driving Layup (4 PTS) (K. Leonard 2 AST)")</f>
        <v>D. Cousins driving Layup (4 PTS) (K. Leonard 2 AST)</v>
      </c>
      <c r="L131" s="2" t="str">
        <f>HYPERLINK("https://www.nba.com/game/...-vs-...-0042000222/play-by-play?watchFullGame=true", "LAC vs UTA - Q1 02:45.00")</f>
        <v>LAC vs UTA - Q1 02:45.00</v>
      </c>
      <c r="M131">
        <v>3.63</v>
      </c>
      <c r="N131">
        <v>6.52</v>
      </c>
      <c r="O131">
        <v>42.96</v>
      </c>
      <c r="P131">
        <v>6</v>
      </c>
      <c r="Q131">
        <v>42</v>
      </c>
      <c r="R131">
        <v>6</v>
      </c>
      <c r="S131">
        <v>42</v>
      </c>
      <c r="T131" t="s">
        <v>73</v>
      </c>
    </row>
    <row r="132" spans="1:20" x14ac:dyDescent="0.25">
      <c r="A132">
        <v>22200509</v>
      </c>
      <c r="B132" t="s">
        <v>4</v>
      </c>
      <c r="C132" t="s">
        <v>65</v>
      </c>
      <c r="D132">
        <v>91</v>
      </c>
      <c r="E132">
        <v>74</v>
      </c>
      <c r="F132">
        <v>17</v>
      </c>
      <c r="G132">
        <v>3</v>
      </c>
      <c r="H132" s="1">
        <v>1.4236111111111112E-3</v>
      </c>
      <c r="I132">
        <v>2022</v>
      </c>
      <c r="J132" t="s">
        <v>59</v>
      </c>
      <c r="K132" s="2" t="str">
        <f>HYPERLINK("https://www.nba.com/stats/events?CFID=&amp;CFPARAMS=&amp;GameEventID=449&amp;GameID=0022200509&amp;Season=2022-23&amp;flag=1&amp;title=N.%20Powell%20cutting%20DUNK%20(16%20PTS)%20(K.%20Leonard%206%20AST)", "N. Powell cutting DUNK (16 PTS) (K. Leonard 6 AST)")</f>
        <v>N. Powell cutting DUNK (16 PTS) (K. Leonard 6 AST)</v>
      </c>
      <c r="L132" s="2" t="str">
        <f>HYPERLINK("https://www.nba.com/game/...-vs-...-0022200509/play-by-play?watchFullGame=true", "LAC vs TOR - Q3 02:03.00")</f>
        <v>LAC vs TOR - Q3 02:03.00</v>
      </c>
      <c r="M132">
        <v>0.95</v>
      </c>
      <c r="N132">
        <v>6.52</v>
      </c>
      <c r="O132">
        <v>49.26</v>
      </c>
      <c r="P132">
        <v>4</v>
      </c>
      <c r="Q132">
        <v>9</v>
      </c>
      <c r="R132">
        <v>6</v>
      </c>
      <c r="S132">
        <v>49</v>
      </c>
      <c r="T132" t="s">
        <v>73</v>
      </c>
    </row>
    <row r="133" spans="1:20" x14ac:dyDescent="0.25">
      <c r="A133">
        <v>22300716</v>
      </c>
      <c r="B133" t="s">
        <v>4</v>
      </c>
      <c r="C133" t="s">
        <v>64</v>
      </c>
      <c r="D133">
        <v>85</v>
      </c>
      <c r="E133">
        <v>82</v>
      </c>
      <c r="F133">
        <v>3</v>
      </c>
      <c r="G133">
        <v>3</v>
      </c>
      <c r="H133" s="1">
        <v>4.1435185185185186E-3</v>
      </c>
      <c r="I133">
        <v>2023</v>
      </c>
      <c r="J133" t="s">
        <v>59</v>
      </c>
      <c r="K133" s="2" t="str">
        <f>HYPERLINK("https://www.nba.com/stats/events?CFID=&amp;CFPARAMS=&amp;GameEventID=370&amp;GameID=0022300716&amp;Season=2023-24&amp;flag=1&amp;title=M.%20Plumlee%20reverse%20Layup%20(8%20PTS)%20(K.%20Leonard%202%20AST)", "M. Plumlee reverse Layup (8 PTS) (K. Leonard 2 AST)")</f>
        <v>M. Plumlee reverse Layup (8 PTS) (K. Leonard 2 AST)</v>
      </c>
      <c r="L133" s="2" t="str">
        <f>HYPERLINK("https://www.nba.com/game/...-vs-...-0022300716/play-by-play?watchFullGame=true", "LAC vs ATL - Q3 05:58.00")</f>
        <v>LAC vs ATL - Q3 05:58.00</v>
      </c>
      <c r="M133">
        <v>1.07</v>
      </c>
      <c r="N133">
        <v>6.26</v>
      </c>
      <c r="O133">
        <v>48.28</v>
      </c>
      <c r="P133">
        <v>9</v>
      </c>
      <c r="Q133">
        <v>6</v>
      </c>
      <c r="R133">
        <v>6</v>
      </c>
      <c r="S133">
        <v>48</v>
      </c>
      <c r="T133" t="s">
        <v>73</v>
      </c>
    </row>
    <row r="134" spans="1:20" x14ac:dyDescent="0.25">
      <c r="A134">
        <v>22200509</v>
      </c>
      <c r="B134" t="s">
        <v>10</v>
      </c>
      <c r="C134" t="s">
        <v>9</v>
      </c>
      <c r="D134">
        <v>76</v>
      </c>
      <c r="E134">
        <v>67</v>
      </c>
      <c r="F134">
        <v>9</v>
      </c>
      <c r="G134">
        <v>3</v>
      </c>
      <c r="H134" s="1">
        <v>4.340277777777778E-3</v>
      </c>
      <c r="I134">
        <v>2022</v>
      </c>
      <c r="J134" t="s">
        <v>59</v>
      </c>
      <c r="K134" s="2" t="str">
        <f>HYPERLINK("https://www.nba.com/stats/events?CFID=&amp;CFPARAMS=&amp;GameEventID=387&amp;GameID=0022200509&amp;Season=2022-23&amp;flag=1&amp;title=R.%20Jackson%203PT%20%20(14%20PTS)%20(K.%20Leonard%205%20AST)", "R. Jackson 3PT  (14 PTS) (K. Leonard 5 AST)")</f>
        <v>R. Jackson 3PT  (14 PTS) (K. Leonard 5 AST)</v>
      </c>
      <c r="L134" s="2" t="str">
        <f>HYPERLINK("https://www.nba.com/game/...-vs-...-0022200509/play-by-play?watchFullGame=true", "LAC vs TOR - Q3 06:15.00")</f>
        <v>LAC vs TOR - Q3 06:15.00</v>
      </c>
      <c r="M134">
        <v>23.93</v>
      </c>
      <c r="N134">
        <v>6.92</v>
      </c>
      <c r="O134">
        <v>97.79</v>
      </c>
      <c r="P134">
        <v>-239</v>
      </c>
      <c r="Q134">
        <v>13</v>
      </c>
      <c r="R134">
        <v>6</v>
      </c>
      <c r="S134">
        <v>97</v>
      </c>
      <c r="T134" t="s">
        <v>73</v>
      </c>
    </row>
    <row r="135" spans="1:20" x14ac:dyDescent="0.25">
      <c r="A135">
        <v>22400679</v>
      </c>
      <c r="B135" t="s">
        <v>4</v>
      </c>
      <c r="C135" t="s">
        <v>64</v>
      </c>
      <c r="D135">
        <v>92</v>
      </c>
      <c r="E135">
        <v>85</v>
      </c>
      <c r="F135">
        <v>7</v>
      </c>
      <c r="G135">
        <v>4</v>
      </c>
      <c r="H135" s="1">
        <v>6.5277777777777782E-3</v>
      </c>
      <c r="I135">
        <v>2024</v>
      </c>
      <c r="J135" t="s">
        <v>59</v>
      </c>
      <c r="K135" s="2" t="str">
        <f>HYPERLINK("https://www.nba.com/stats/events?CFID=&amp;CFPARAMS=&amp;GameEventID=533&amp;GameID=0022400679&amp;Season=2024-25&amp;flag=1&amp;title=K.%20Porter%20Jr.%20running%20Layup%20(5%20PTS)%20(K.%20Leonard%202%20AST)", "K. Porter Jr. running Layup (5 PTS) (K. Leonard 2 AST)")</f>
        <v>K. Porter Jr. running Layup (5 PTS) (K. Leonard 2 AST)</v>
      </c>
      <c r="L135" s="2" t="str">
        <f>HYPERLINK("https://www.nba.com/game/...-vs-...-0022400679/play-by-play?watchFullGame=true", "LAC vs CHA - Q4 09:24.00")</f>
        <v>LAC vs CHA - Q4 09:24.00</v>
      </c>
      <c r="M135">
        <v>1.56</v>
      </c>
      <c r="N135">
        <v>6.13</v>
      </c>
      <c r="O135">
        <v>47.06</v>
      </c>
      <c r="P135">
        <v>15</v>
      </c>
      <c r="Q135">
        <v>5</v>
      </c>
      <c r="R135">
        <v>6</v>
      </c>
      <c r="S135">
        <v>47</v>
      </c>
      <c r="T135" t="s">
        <v>73</v>
      </c>
    </row>
    <row r="136" spans="1:20" x14ac:dyDescent="0.25">
      <c r="A136">
        <v>41900233</v>
      </c>
      <c r="B136" t="s">
        <v>4</v>
      </c>
      <c r="C136" t="s">
        <v>69</v>
      </c>
      <c r="D136">
        <v>53</v>
      </c>
      <c r="E136">
        <v>57</v>
      </c>
      <c r="F136">
        <v>4</v>
      </c>
      <c r="G136">
        <v>2</v>
      </c>
      <c r="H136" s="1">
        <v>1.5277777777777779E-3</v>
      </c>
      <c r="I136" t="s">
        <v>62</v>
      </c>
      <c r="J136" t="s">
        <v>59</v>
      </c>
      <c r="K136" s="2" t="str">
        <f>HYPERLINK("https://www.nba.com/stats/events?CFID=&amp;CFPARAMS=&amp;GameEventID=280&amp;GameID=0041900233&amp;Season=2019-20&amp;flag=1&amp;title=P.%20George%20layup%20(15%20PTS)%20(K.%20Leonard%204%20AST)", "P. George layup (15 PTS) (K. Leonard 4 AST)")</f>
        <v>P. George layup (15 PTS) (K. Leonard 4 AST)</v>
      </c>
      <c r="L136" s="2" t="str">
        <f>HYPERLINK("https://www.nba.com/game/...-vs-...-0041900233/play-by-play?watchFullGame=true", "LAC vs DEN - Q2 02:12.00")</f>
        <v>LAC vs DEN - Q2 02:12.00</v>
      </c>
      <c r="M136">
        <v>2.38</v>
      </c>
      <c r="N136">
        <v>6.92</v>
      </c>
      <c r="O136">
        <v>46.88</v>
      </c>
      <c r="P136">
        <v>16</v>
      </c>
      <c r="Q136">
        <v>13</v>
      </c>
      <c r="R136">
        <v>6</v>
      </c>
      <c r="S136">
        <v>46</v>
      </c>
      <c r="T136" t="s">
        <v>73</v>
      </c>
    </row>
    <row r="137" spans="1:20" x14ac:dyDescent="0.25">
      <c r="A137">
        <v>22000324</v>
      </c>
      <c r="B137" t="s">
        <v>4</v>
      </c>
      <c r="C137" t="s">
        <v>70</v>
      </c>
      <c r="D137">
        <v>12</v>
      </c>
      <c r="E137">
        <v>4</v>
      </c>
      <c r="F137">
        <v>8</v>
      </c>
      <c r="G137">
        <v>1</v>
      </c>
      <c r="H137" s="1">
        <v>5.8912037037037041E-3</v>
      </c>
      <c r="I137">
        <v>2020</v>
      </c>
      <c r="J137" t="s">
        <v>59</v>
      </c>
      <c r="K137" s="2" t="str">
        <f>HYPERLINK("https://www.nba.com/stats/events?CFID=&amp;CFPARAMS=&amp;GameEventID=37&amp;GameID=0022000324&amp;Season=2020-21&amp;flag=1&amp;title=Ibaka%20turnaround%20Hook%20(2%20PTS)%20(K.%20Leonard%203%20AST)", "S. Ibaka turnaround Hook (2 PTS) (K. Leonard 3 AST)")</f>
        <v>S. Ibaka turnaround Hook (2 PTS) (K. Leonard 3 AST)</v>
      </c>
      <c r="L137" s="2" t="str">
        <f>HYPERLINK("https://www.nba.com/game/...-vs-...-0022000324/play-by-play?watchFullGame=true", "LAC vs BKN - Q1 08:29.00")</f>
        <v>LAC vs BKN - Q1 08:29.00</v>
      </c>
      <c r="M137">
        <v>2.68</v>
      </c>
      <c r="N137">
        <v>6.26</v>
      </c>
      <c r="O137">
        <v>55.22</v>
      </c>
      <c r="P137">
        <v>-26</v>
      </c>
      <c r="Q137">
        <v>6</v>
      </c>
      <c r="R137">
        <v>6</v>
      </c>
      <c r="S137">
        <v>55</v>
      </c>
      <c r="T137" t="s">
        <v>73</v>
      </c>
    </row>
    <row r="138" spans="1:20" x14ac:dyDescent="0.25">
      <c r="A138">
        <v>22000720</v>
      </c>
      <c r="B138" t="s">
        <v>4</v>
      </c>
      <c r="C138" t="s">
        <v>65</v>
      </c>
      <c r="D138">
        <v>12</v>
      </c>
      <c r="E138">
        <v>0</v>
      </c>
      <c r="F138">
        <v>12</v>
      </c>
      <c r="G138">
        <v>1</v>
      </c>
      <c r="H138" s="1">
        <v>6.5624999999999998E-3</v>
      </c>
      <c r="I138">
        <v>2020</v>
      </c>
      <c r="J138" t="s">
        <v>59</v>
      </c>
      <c r="K138" s="2" t="str">
        <f>HYPERLINK("https://www.nba.com/stats/events?CFID=&amp;CFPARAMS=&amp;GameEventID=32&amp;GameID=0022000720&amp;Season=2020-21&amp;flag=1&amp;title=I.%20Zubac%20cutting%20DUNK%20(4%20PTS)%20(K.%20Leonard%201%20AST)", "I. Zubac cutting DUNK (4 PTS) (K. Leonard 1 AST)")</f>
        <v>I. Zubac cutting DUNK (4 PTS) (K. Leonard 1 AST)</v>
      </c>
      <c r="L138" s="2" t="str">
        <f>HYPERLINK("https://www.nba.com/game/...-vs-...-0022000720/play-by-play?watchFullGame=true", "LAC vs ORL - Q1 09:27.00")</f>
        <v>LAC vs ORL - Q1 09:27.00</v>
      </c>
      <c r="M138">
        <v>0.65</v>
      </c>
      <c r="N138">
        <v>6.26</v>
      </c>
      <c r="O138">
        <v>50.31</v>
      </c>
      <c r="P138">
        <v>-2</v>
      </c>
      <c r="Q138">
        <v>6</v>
      </c>
      <c r="R138">
        <v>6</v>
      </c>
      <c r="S138">
        <v>50</v>
      </c>
      <c r="T138" t="s">
        <v>73</v>
      </c>
    </row>
    <row r="139" spans="1:20" x14ac:dyDescent="0.25">
      <c r="A139">
        <v>21900603</v>
      </c>
      <c r="B139" t="s">
        <v>4</v>
      </c>
      <c r="C139" t="s">
        <v>61</v>
      </c>
      <c r="D139">
        <v>53</v>
      </c>
      <c r="E139">
        <v>47</v>
      </c>
      <c r="F139">
        <v>6</v>
      </c>
      <c r="G139">
        <v>2</v>
      </c>
      <c r="H139" s="1">
        <v>2.3611111111111111E-3</v>
      </c>
      <c r="I139">
        <v>2019</v>
      </c>
      <c r="J139" t="s">
        <v>59</v>
      </c>
      <c r="K139" s="2" t="str">
        <f>HYPERLINK("https://www.nba.com/stats/events?CFID=&amp;CFPARAMS=&amp;GameEventID=261&amp;GameID=0021900603&amp;Season=2019-20&amp;flag=1&amp;title=I.%20Zubac%20jumpshot%20(4%20PTS)%20(K.%20Leonard%203%20AST)", "I. Zubac jumpshot (4 PTS) (K. Leonard 3 AST)")</f>
        <v>I. Zubac jumpshot (4 PTS) (K. Leonard 3 AST)</v>
      </c>
      <c r="L139" s="2" t="str">
        <f>HYPERLINK("https://www.nba.com/game/...-vs-...-0021900603/play-by-play?watchFullGame=true", "LAC vs CLE - Q2 03:24.00")</f>
        <v>LAC vs CLE - Q2 03:24.00</v>
      </c>
      <c r="M139">
        <v>5.34</v>
      </c>
      <c r="N139">
        <v>7.93</v>
      </c>
      <c r="O139">
        <v>40.86</v>
      </c>
      <c r="P139">
        <v>46</v>
      </c>
      <c r="Q139">
        <v>22</v>
      </c>
      <c r="R139">
        <v>7</v>
      </c>
      <c r="S139">
        <v>40</v>
      </c>
      <c r="T139" t="s">
        <v>73</v>
      </c>
    </row>
    <row r="140" spans="1:20" x14ac:dyDescent="0.25">
      <c r="A140">
        <v>21900377</v>
      </c>
      <c r="B140" t="s">
        <v>4</v>
      </c>
      <c r="C140" t="s">
        <v>69</v>
      </c>
      <c r="D140">
        <v>117</v>
      </c>
      <c r="E140">
        <v>109</v>
      </c>
      <c r="F140">
        <v>8</v>
      </c>
      <c r="G140">
        <v>4</v>
      </c>
      <c r="H140" s="1">
        <v>2.1296296296296298E-3</v>
      </c>
      <c r="I140">
        <v>2019</v>
      </c>
      <c r="J140" t="s">
        <v>59</v>
      </c>
      <c r="K140" s="2" t="str">
        <f>HYPERLINK("https://www.nba.com/stats/events?CFID=&amp;CFPARAMS=&amp;GameEventID=645&amp;GameID=0021900377&amp;Season=2019-20&amp;flag=1&amp;title=P.%20George%20layup%20(44%20PTS)%20(K.%20Leonard%202%20AST)", "P. George layup (44 PTS) (K. Leonard 2 AST)")</f>
        <v>P. George layup (44 PTS) (K. Leonard 2 AST)</v>
      </c>
      <c r="L140" s="2" t="str">
        <f>HYPERLINK("https://www.nba.com/game/...-vs-...-0021900377/play-by-play?watchFullGame=true", "LAC vs MIN - Q4 03:04.00")</f>
        <v>LAC vs MIN - Q4 03:04.00</v>
      </c>
      <c r="M140">
        <v>2.5299999999999998</v>
      </c>
      <c r="N140">
        <v>7.31</v>
      </c>
      <c r="O140">
        <v>47.37</v>
      </c>
      <c r="P140">
        <v>13</v>
      </c>
      <c r="Q140">
        <v>16</v>
      </c>
      <c r="R140">
        <v>7</v>
      </c>
      <c r="S140">
        <v>47</v>
      </c>
      <c r="T140" t="s">
        <v>73</v>
      </c>
    </row>
    <row r="141" spans="1:20" x14ac:dyDescent="0.25">
      <c r="A141">
        <v>22000605</v>
      </c>
      <c r="B141" t="s">
        <v>4</v>
      </c>
      <c r="C141" t="s">
        <v>65</v>
      </c>
      <c r="D141">
        <v>65</v>
      </c>
      <c r="E141">
        <v>60</v>
      </c>
      <c r="F141">
        <v>5</v>
      </c>
      <c r="G141">
        <v>3</v>
      </c>
      <c r="H141" s="1">
        <v>5.2546296296296299E-3</v>
      </c>
      <c r="I141">
        <v>2020</v>
      </c>
      <c r="J141" t="s">
        <v>59</v>
      </c>
      <c r="K141" s="2" t="str">
        <f>HYPERLINK("https://www.nba.com/stats/events?CFID=&amp;CFPARAMS=&amp;GameEventID=305&amp;GameID=0022000605&amp;Season=2020-21&amp;flag=1&amp;title=M.%20Morris%20Sr.%20running%20DUNK%20(14%20PTS)%20(K.%20Leonard%205%20AST)", "M. Morris Sr. running DUNK (14 PTS) (K. Leonard 5 AST)")</f>
        <v>M. Morris Sr. running DUNK (14 PTS) (K. Leonard 5 AST)</v>
      </c>
      <c r="L141" s="2" t="str">
        <f>HYPERLINK("https://www.nba.com/game/...-vs-...-0022000605/play-by-play?watchFullGame=true", "LAC vs DAL - Q3 07:34.00")</f>
        <v>LAC vs DAL - Q3 07:34.00</v>
      </c>
      <c r="M141">
        <v>2.48</v>
      </c>
      <c r="N141">
        <v>7.84</v>
      </c>
      <c r="O141">
        <v>47.37</v>
      </c>
      <c r="P141">
        <v>13</v>
      </c>
      <c r="Q141">
        <v>21</v>
      </c>
      <c r="R141">
        <v>7</v>
      </c>
      <c r="S141">
        <v>47</v>
      </c>
      <c r="T141" t="s">
        <v>73</v>
      </c>
    </row>
    <row r="142" spans="1:20" x14ac:dyDescent="0.25">
      <c r="A142">
        <v>21900068</v>
      </c>
      <c r="B142" t="s">
        <v>4</v>
      </c>
      <c r="C142" t="s">
        <v>61</v>
      </c>
      <c r="D142">
        <v>28</v>
      </c>
      <c r="E142">
        <v>25</v>
      </c>
      <c r="F142">
        <v>3</v>
      </c>
      <c r="G142">
        <v>2</v>
      </c>
      <c r="H142" s="1">
        <v>6.8634259259259256E-3</v>
      </c>
      <c r="I142">
        <v>2019</v>
      </c>
      <c r="J142" t="s">
        <v>59</v>
      </c>
      <c r="K142" s="2" t="str">
        <f>HYPERLINK("https://www.nba.com/stats/events?CFID=&amp;CFPARAMS=&amp;GameEventID=178&amp;GameID=0021900068&amp;Season=2019-20&amp;flag=1&amp;title=[LAC]%20Harrell%20jumpshot:%20Made%20(8%20PTS)%20assist:%20Leonard%20(1%20AST)", "[LAC] Harrell jumpshot: Made (8 PTS) assist: Leonard (1 AST)")</f>
        <v>[LAC] Harrell jumpshot: Made (8 PTS) assist: Leonard (1 AST)</v>
      </c>
      <c r="L142" s="2" t="str">
        <f>HYPERLINK("https://www.nba.com/game/...-vs-...-0021900068/play-by-play?watchFullGame=true", "LAC vs SAS - Q2 09:53.00")</f>
        <v>LAC vs SAS - Q2 09:53.00</v>
      </c>
      <c r="M142">
        <v>7.77</v>
      </c>
      <c r="N142">
        <v>7.93</v>
      </c>
      <c r="O142">
        <v>35.47</v>
      </c>
      <c r="P142">
        <v>73</v>
      </c>
      <c r="Q142">
        <v>22</v>
      </c>
      <c r="R142">
        <v>7</v>
      </c>
      <c r="S142">
        <v>35</v>
      </c>
      <c r="T142" t="s">
        <v>73</v>
      </c>
    </row>
    <row r="143" spans="1:20" x14ac:dyDescent="0.25">
      <c r="A143">
        <v>21900224</v>
      </c>
      <c r="B143" t="s">
        <v>4</v>
      </c>
      <c r="C143" t="s">
        <v>63</v>
      </c>
      <c r="D143">
        <v>57</v>
      </c>
      <c r="E143">
        <v>54</v>
      </c>
      <c r="F143">
        <v>3</v>
      </c>
      <c r="G143">
        <v>3</v>
      </c>
      <c r="H143" s="1">
        <v>7.7546296296296295E-3</v>
      </c>
      <c r="I143">
        <v>2019</v>
      </c>
      <c r="J143" t="s">
        <v>59</v>
      </c>
      <c r="K143" s="2" t="str">
        <f>HYPERLINK("https://www.nba.com/stats/events?CFID=&amp;CFPARAMS=&amp;GameEventID=359&amp;GameID=0021900224&amp;Season=2019-20&amp;flag=1&amp;title=M.%20Harkless%20dunk%20(7%20PTS)%20(K.%20Leonard%201%20AST)", "M. Harkless dunk (7 PTS) (K. Leonard 1 AST)")</f>
        <v>M. Harkless dunk (7 PTS) (K. Leonard 1 AST)</v>
      </c>
      <c r="L143" s="2" t="str">
        <f>HYPERLINK("https://www.nba.com/game/...-vs-...-0021900224/play-by-play?watchFullGame=true", "LAC vs HOU - Q3 11:10.00")</f>
        <v>LAC vs HOU - Q3 11:10.00</v>
      </c>
      <c r="M143">
        <v>2.3199999999999998</v>
      </c>
      <c r="N143">
        <v>7.28</v>
      </c>
      <c r="O143">
        <v>48.22</v>
      </c>
      <c r="P143">
        <v>9</v>
      </c>
      <c r="Q143">
        <v>16</v>
      </c>
      <c r="R143">
        <v>7</v>
      </c>
      <c r="S143">
        <v>48</v>
      </c>
      <c r="T143" t="s">
        <v>73</v>
      </c>
    </row>
    <row r="144" spans="1:20" x14ac:dyDescent="0.25">
      <c r="A144">
        <v>22000601</v>
      </c>
      <c r="B144" t="s">
        <v>4</v>
      </c>
      <c r="C144" t="s">
        <v>64</v>
      </c>
      <c r="D144">
        <v>6</v>
      </c>
      <c r="E144">
        <v>13</v>
      </c>
      <c r="F144">
        <v>7</v>
      </c>
      <c r="G144">
        <v>1</v>
      </c>
      <c r="H144" s="1">
        <v>5.5787037037037038E-3</v>
      </c>
      <c r="I144">
        <v>2020</v>
      </c>
      <c r="J144" t="s">
        <v>59</v>
      </c>
      <c r="K144" s="2" t="str">
        <f>HYPERLINK("https://www.nba.com/stats/events?CFID=&amp;CFPARAMS=&amp;GameEventID=42&amp;GameID=0022000601&amp;Season=2020-21&amp;flag=1&amp;title=N.%20Batum%20running%20Layup%20(2%20PTS)%20(K.%20Leonard%201%20AST)", "N. Batum running Layup (2 PTS) (K. Leonard 1 AST)")</f>
        <v>N. Batum running Layup (2 PTS) (K. Leonard 1 AST)</v>
      </c>
      <c r="L144" s="2" t="str">
        <f>HYPERLINK("https://www.nba.com/game/...-vs-...-0022000601/play-by-play?watchFullGame=true", "LAC vs NOP - Q1 08:02.00")</f>
        <v>LAC vs NOP - Q1 08:02.00</v>
      </c>
      <c r="M144">
        <v>1.75</v>
      </c>
      <c r="N144">
        <v>7.44</v>
      </c>
      <c r="O144">
        <v>50.31</v>
      </c>
      <c r="P144">
        <v>-2</v>
      </c>
      <c r="Q144">
        <v>17</v>
      </c>
      <c r="R144">
        <v>7</v>
      </c>
      <c r="S144">
        <v>50</v>
      </c>
      <c r="T144" t="s">
        <v>73</v>
      </c>
    </row>
    <row r="145" spans="1:20" x14ac:dyDescent="0.25">
      <c r="A145">
        <v>22000002</v>
      </c>
      <c r="B145" t="s">
        <v>10</v>
      </c>
      <c r="C145" t="s">
        <v>9</v>
      </c>
      <c r="D145">
        <v>29</v>
      </c>
      <c r="E145">
        <v>15</v>
      </c>
      <c r="F145">
        <v>14</v>
      </c>
      <c r="G145">
        <v>1</v>
      </c>
      <c r="H145" s="1">
        <v>2.9861111111111113E-3</v>
      </c>
      <c r="I145">
        <v>2020</v>
      </c>
      <c r="J145" t="s">
        <v>59</v>
      </c>
      <c r="K145" s="2" t="str">
        <f>HYPERLINK("https://www.nba.com/stats/events?CFID=&amp;CFPARAMS=&amp;GameEventID=116&amp;GameID=0022000002&amp;Season=2020-21&amp;flag=1&amp;title=L.%20Williams%203PT%20running%20pullup%20(3%20PTS)%20(K.%20Leonard%202%20AST)", "L. Williams 3PT running pullup (3 PTS) (K. Leonard 2 AST)")</f>
        <v>L. Williams 3PT running pullup (3 PTS) (K. Leonard 2 AST)</v>
      </c>
      <c r="L145" s="2" t="str">
        <f>HYPERLINK("https://www.nba.com/game/...-vs-...-0022000002/play-by-play?watchFullGame=true", "LAC vs LAL - Q1 04:18.00")</f>
        <v>LAC vs LAL - Q1 04:18.00</v>
      </c>
      <c r="M145">
        <v>23.13</v>
      </c>
      <c r="N145">
        <v>7.31</v>
      </c>
      <c r="O145">
        <v>96.15</v>
      </c>
      <c r="P145">
        <v>-231</v>
      </c>
      <c r="Q145">
        <v>16</v>
      </c>
      <c r="R145">
        <v>7</v>
      </c>
      <c r="S145">
        <v>96</v>
      </c>
      <c r="T145" t="s">
        <v>73</v>
      </c>
    </row>
    <row r="146" spans="1:20" x14ac:dyDescent="0.25">
      <c r="A146">
        <v>22000867</v>
      </c>
      <c r="B146" t="s">
        <v>4</v>
      </c>
      <c r="C146" t="s">
        <v>64</v>
      </c>
      <c r="D146">
        <v>79</v>
      </c>
      <c r="E146">
        <v>56</v>
      </c>
      <c r="F146">
        <v>23</v>
      </c>
      <c r="G146">
        <v>3</v>
      </c>
      <c r="H146" s="1">
        <v>7.2916666666666668E-3</v>
      </c>
      <c r="I146">
        <v>2020</v>
      </c>
      <c r="J146" t="s">
        <v>59</v>
      </c>
      <c r="K146" s="2" t="str">
        <f>HYPERLINK("https://www.nba.com/stats/events?CFID=&amp;CFPARAMS=&amp;GameEventID=357&amp;GameID=0022000867&amp;Season=2020-21&amp;flag=1&amp;title=P.%20George%20running%20Layup%20(18%20PTS)%20(K.%20Leonard%206%20AST)", "P. George running Layup (18 PTS) (K. Leonard 6 AST)")</f>
        <v>P. George running Layup (18 PTS) (K. Leonard 6 AST)</v>
      </c>
      <c r="L146" s="2" t="str">
        <f>HYPERLINK("https://www.nba.com/game/...-vs-...-0022000867/play-by-play?watchFullGame=true", "LAC vs MIN - Q3 10:30.00")</f>
        <v>LAC vs MIN - Q3 10:30.00</v>
      </c>
      <c r="M146">
        <v>2.42</v>
      </c>
      <c r="N146">
        <v>7.31</v>
      </c>
      <c r="O146">
        <v>46.39</v>
      </c>
      <c r="P146">
        <v>18</v>
      </c>
      <c r="Q146">
        <v>16</v>
      </c>
      <c r="R146">
        <v>7</v>
      </c>
      <c r="S146">
        <v>46</v>
      </c>
      <c r="T146" t="s">
        <v>73</v>
      </c>
    </row>
    <row r="147" spans="1:20" x14ac:dyDescent="0.25">
      <c r="A147">
        <v>22001047</v>
      </c>
      <c r="B147" t="s">
        <v>4</v>
      </c>
      <c r="C147" t="s">
        <v>65</v>
      </c>
      <c r="D147">
        <v>20</v>
      </c>
      <c r="E147">
        <v>18</v>
      </c>
      <c r="F147">
        <v>2</v>
      </c>
      <c r="G147">
        <v>1</v>
      </c>
      <c r="H147" s="1">
        <v>1.8981481481481482E-3</v>
      </c>
      <c r="I147">
        <v>2020</v>
      </c>
      <c r="J147" t="s">
        <v>59</v>
      </c>
      <c r="K147" s="2" t="str">
        <f>HYPERLINK("https://www.nba.com/stats/events?CFID=&amp;CFPARAMS=&amp;GameEventID=102&amp;GameID=0022001047&amp;Season=2020-21&amp;flag=1&amp;title=I.%20Zubac%20cutting%20DUNK%20(6%20PTS)%20(K.%20Leonard%203%20AST)", "I. Zubac cutting DUNK (6 PTS) (K. Leonard 3 AST)")</f>
        <v>I. Zubac cutting DUNK (6 PTS) (K. Leonard 3 AST)</v>
      </c>
      <c r="L147" s="2" t="str">
        <f>HYPERLINK("https://www.nba.com/game/...-vs-...-0022001047/play-by-play?watchFullGame=true", "LAC vs CHA - Q1 02:44.00")</f>
        <v>LAC vs CHA - Q1 02:44.00</v>
      </c>
      <c r="M147">
        <v>1.39</v>
      </c>
      <c r="N147">
        <v>7.05</v>
      </c>
      <c r="O147">
        <v>49.58</v>
      </c>
      <c r="P147">
        <v>2</v>
      </c>
      <c r="Q147">
        <v>14</v>
      </c>
      <c r="R147">
        <v>7</v>
      </c>
      <c r="S147">
        <v>49</v>
      </c>
      <c r="T147" t="s">
        <v>73</v>
      </c>
    </row>
    <row r="148" spans="1:20" x14ac:dyDescent="0.25">
      <c r="A148">
        <v>22200885</v>
      </c>
      <c r="B148" t="s">
        <v>4</v>
      </c>
      <c r="C148" t="s">
        <v>65</v>
      </c>
      <c r="D148">
        <v>69</v>
      </c>
      <c r="E148">
        <v>68</v>
      </c>
      <c r="F148">
        <v>1</v>
      </c>
      <c r="G148">
        <v>3</v>
      </c>
      <c r="H148" s="1">
        <v>4.8726851851851848E-3</v>
      </c>
      <c r="I148">
        <v>2022</v>
      </c>
      <c r="J148" t="s">
        <v>59</v>
      </c>
      <c r="K148" s="2" t="str">
        <f>HYPERLINK("https://www.nba.com/stats/events?CFID=&amp;CFPARAMS=&amp;GameEventID=410&amp;GameID=0022200885&amp;Season=2022-23&amp;flag=1&amp;title=T.%20Mann%20running%20DUNK%20(17%20PTS)%20(K.%20Leonard%203%20AST)", "T. Mann running DUNK (17 PTS) (K. Leonard 3 AST)")</f>
        <v>T. Mann running DUNK (17 PTS) (K. Leonard 3 AST)</v>
      </c>
      <c r="L148" s="2" t="str">
        <f>HYPERLINK("https://www.nba.com/game/...-vs-...-0022200885/play-by-play?watchFullGame=true", "LAC vs PHX - Q3 07:01.00")</f>
        <v>LAC vs PHX - Q3 07:01.00</v>
      </c>
      <c r="M148">
        <v>1.39</v>
      </c>
      <c r="N148">
        <v>7.05</v>
      </c>
      <c r="O148">
        <v>50.49</v>
      </c>
      <c r="P148">
        <v>-2</v>
      </c>
      <c r="Q148">
        <v>14</v>
      </c>
      <c r="R148">
        <v>7</v>
      </c>
      <c r="S148">
        <v>50</v>
      </c>
      <c r="T148" t="s">
        <v>73</v>
      </c>
    </row>
    <row r="149" spans="1:20" x14ac:dyDescent="0.25">
      <c r="A149">
        <v>22200991</v>
      </c>
      <c r="B149" t="s">
        <v>4</v>
      </c>
      <c r="C149" t="s">
        <v>64</v>
      </c>
      <c r="D149">
        <v>53</v>
      </c>
      <c r="E149">
        <v>51</v>
      </c>
      <c r="F149">
        <v>2</v>
      </c>
      <c r="G149">
        <v>3</v>
      </c>
      <c r="H149" s="1">
        <v>7.7199074074074071E-3</v>
      </c>
      <c r="I149">
        <v>2022</v>
      </c>
      <c r="J149" t="s">
        <v>59</v>
      </c>
      <c r="K149" s="2" t="str">
        <f>HYPERLINK("https://www.nba.com/stats/events?CFID=&amp;CFPARAMS=&amp;GameEventID=310&amp;GameID=0022200991&amp;Season=2022-23&amp;flag=1&amp;title=R.%20Westbrook%20driving%20Layup%20(4%20PTS)%20(K.%20Leonard%203%20AST)", "R. Westbrook driving Layup (4 PTS) (K. Leonard 3 AST)")</f>
        <v>R. Westbrook driving Layup (4 PTS) (K. Leonard 3 AST)</v>
      </c>
      <c r="L149" s="2" t="str">
        <f>HYPERLINK("https://www.nba.com/game/...-vs-...-0022200991/play-by-play?watchFullGame=true", "LAC vs TOR - Q3 11:07.00")</f>
        <v>LAC vs TOR - Q3 11:07.00</v>
      </c>
      <c r="M149">
        <v>4.29</v>
      </c>
      <c r="N149">
        <v>7.93</v>
      </c>
      <c r="O149">
        <v>42.65</v>
      </c>
      <c r="P149">
        <v>37</v>
      </c>
      <c r="Q149">
        <v>22</v>
      </c>
      <c r="R149">
        <v>7</v>
      </c>
      <c r="S149">
        <v>42</v>
      </c>
      <c r="T149" t="s">
        <v>73</v>
      </c>
    </row>
    <row r="150" spans="1:20" x14ac:dyDescent="0.25">
      <c r="A150">
        <v>21900626</v>
      </c>
      <c r="B150" t="s">
        <v>4</v>
      </c>
      <c r="C150" t="s">
        <v>63</v>
      </c>
      <c r="D150">
        <v>23</v>
      </c>
      <c r="E150">
        <v>22</v>
      </c>
      <c r="F150">
        <v>1</v>
      </c>
      <c r="G150">
        <v>1</v>
      </c>
      <c r="H150" s="1">
        <v>2.3726851851851851E-3</v>
      </c>
      <c r="I150">
        <v>2019</v>
      </c>
      <c r="J150" t="s">
        <v>59</v>
      </c>
      <c r="K150" s="2" t="str">
        <f>HYPERLINK("https://www.nba.com/stats/events?CFID=&amp;CFPARAMS=&amp;GameEventID=119&amp;GameID=0021900626&amp;Season=2019-20&amp;flag=1&amp;title=L.%20Shamet%20dunk%20(5%20PTS)%20(K.%20Leonard%202%20AST)", "L. Shamet dunk (5 PTS) (K. Leonard 2 AST)")</f>
        <v>L. Shamet dunk (5 PTS) (K. Leonard 2 AST)</v>
      </c>
      <c r="L150" s="2" t="str">
        <f>HYPERLINK("https://www.nba.com/game/...-vs-...-0021900626/play-by-play?watchFullGame=true", "LAC vs NOP - Q1 03:25.00")</f>
        <v>LAC vs NOP - Q1 03:25.00</v>
      </c>
      <c r="M150">
        <v>2.31</v>
      </c>
      <c r="N150">
        <v>7.18</v>
      </c>
      <c r="O150">
        <v>47.86</v>
      </c>
      <c r="P150">
        <v>11</v>
      </c>
      <c r="Q150">
        <v>15</v>
      </c>
      <c r="R150">
        <v>7</v>
      </c>
      <c r="S150">
        <v>47</v>
      </c>
      <c r="T150" t="s">
        <v>73</v>
      </c>
    </row>
    <row r="151" spans="1:20" x14ac:dyDescent="0.25">
      <c r="A151">
        <v>21901307</v>
      </c>
      <c r="B151" t="s">
        <v>4</v>
      </c>
      <c r="C151" t="s">
        <v>63</v>
      </c>
      <c r="D151">
        <v>10</v>
      </c>
      <c r="E151">
        <v>8</v>
      </c>
      <c r="F151">
        <v>2</v>
      </c>
      <c r="G151">
        <v>1</v>
      </c>
      <c r="H151" s="1">
        <v>4.8842592592592592E-3</v>
      </c>
      <c r="I151">
        <v>2019</v>
      </c>
      <c r="J151" t="s">
        <v>59</v>
      </c>
      <c r="K151" s="2" t="str">
        <f>HYPERLINK("https://www.nba.com/stats/events?CFID=&amp;CFPARAMS=&amp;GameEventID=52&amp;GameID=0021901307&amp;Season=2019-20&amp;flag=1&amp;title=P.%20George%20dunk%20(2%20PTS)%20(K.%20Leonard%201%20AST)", "P. George dunk (2 PTS) (K. Leonard 1 AST)")</f>
        <v>P. George dunk (2 PTS) (K. Leonard 1 AST)</v>
      </c>
      <c r="L151" s="2" t="str">
        <f>HYPERLINK("https://www.nba.com/game/...-vs-...-0021901307/play-by-play?watchFullGame=true", "LAC vs DEN - Q1 07:02.00")</f>
        <v>LAC vs DEN - Q1 07:02.00</v>
      </c>
      <c r="M151">
        <v>2.12</v>
      </c>
      <c r="N151">
        <v>7.23</v>
      </c>
      <c r="O151">
        <v>50.74</v>
      </c>
      <c r="P151">
        <v>-4</v>
      </c>
      <c r="Q151">
        <v>15</v>
      </c>
      <c r="R151">
        <v>7</v>
      </c>
      <c r="S151">
        <v>50</v>
      </c>
      <c r="T151" t="s">
        <v>73</v>
      </c>
    </row>
    <row r="152" spans="1:20" x14ac:dyDescent="0.25">
      <c r="A152">
        <v>22000625</v>
      </c>
      <c r="B152" t="s">
        <v>10</v>
      </c>
      <c r="C152" t="s">
        <v>9</v>
      </c>
      <c r="D152">
        <v>59</v>
      </c>
      <c r="E152">
        <v>66</v>
      </c>
      <c r="F152">
        <v>7</v>
      </c>
      <c r="G152">
        <v>3</v>
      </c>
      <c r="H152" s="1">
        <v>4.8495370370370368E-3</v>
      </c>
      <c r="I152">
        <v>2020</v>
      </c>
      <c r="J152" t="s">
        <v>59</v>
      </c>
      <c r="K152" s="2" t="str">
        <f>HYPERLINK("https://www.nba.com/stats/events?CFID=&amp;CFPARAMS=&amp;GameEventID=386&amp;GameID=0022000625&amp;Season=2020-21&amp;flag=1&amp;title=M.%20Morris%20Sr.%203PT%20%20(9%20PTS)%20(K.%20Leonard%204%20AST)", "M. Morris Sr. 3PT  (9 PTS) (K. Leonard 4 AST)")</f>
        <v>M. Morris Sr. 3PT  (9 PTS) (K. Leonard 4 AST)</v>
      </c>
      <c r="L152" s="2" t="str">
        <f>HYPERLINK("https://www.nba.com/game/...-vs-...-0022000625/play-by-play?watchFullGame=true", "LAC vs DAL - Q3 06:59.00")</f>
        <v>LAC vs DAL - Q3 06:59.00</v>
      </c>
      <c r="M152">
        <v>23.05</v>
      </c>
      <c r="N152">
        <v>7.18</v>
      </c>
      <c r="O152">
        <v>3.99</v>
      </c>
      <c r="P152">
        <v>230</v>
      </c>
      <c r="Q152">
        <v>15</v>
      </c>
      <c r="R152">
        <v>7</v>
      </c>
      <c r="S152">
        <v>3</v>
      </c>
      <c r="T152" t="s">
        <v>73</v>
      </c>
    </row>
    <row r="153" spans="1:20" x14ac:dyDescent="0.25">
      <c r="A153">
        <v>22300223</v>
      </c>
      <c r="B153" t="s">
        <v>4</v>
      </c>
      <c r="C153" t="s">
        <v>65</v>
      </c>
      <c r="D153">
        <v>76</v>
      </c>
      <c r="E153">
        <v>62</v>
      </c>
      <c r="F153">
        <v>14</v>
      </c>
      <c r="G153">
        <v>3</v>
      </c>
      <c r="H153" s="1">
        <v>5.185185185185185E-3</v>
      </c>
      <c r="I153">
        <v>2023</v>
      </c>
      <c r="J153" t="s">
        <v>59</v>
      </c>
      <c r="K153" s="2" t="str">
        <f>HYPERLINK("https://www.nba.com/stats/events?CFID=&amp;CFPARAMS=&amp;GameEventID=358&amp;GameID=0022300223&amp;Season=2023-24&amp;flag=1&amp;title=I.%20Zubac%20reverse%20DUNK%20(8%20PTS)%20(K.%20Leonard%202%20AST)", "I. Zubac reverse DUNK (8 PTS) (K. Leonard 2 AST)")</f>
        <v>I. Zubac reverse DUNK (8 PTS) (K. Leonard 2 AST)</v>
      </c>
      <c r="L153" s="2" t="str">
        <f>HYPERLINK("https://www.nba.com/game/...-vs-...-0022300223/play-by-play?watchFullGame=true", "LAC vs SAS - Q3 07:28.00")</f>
        <v>LAC vs SAS - Q3 07:28.00</v>
      </c>
      <c r="M153">
        <v>2.31</v>
      </c>
      <c r="N153">
        <v>7.57</v>
      </c>
      <c r="O153">
        <v>47.3</v>
      </c>
      <c r="P153">
        <v>13</v>
      </c>
      <c r="Q153">
        <v>19</v>
      </c>
      <c r="R153">
        <v>7</v>
      </c>
      <c r="S153">
        <v>47</v>
      </c>
      <c r="T153" t="s">
        <v>73</v>
      </c>
    </row>
    <row r="154" spans="1:20" x14ac:dyDescent="0.25">
      <c r="A154">
        <v>22300151</v>
      </c>
      <c r="B154" t="s">
        <v>4</v>
      </c>
      <c r="C154" t="s">
        <v>9</v>
      </c>
      <c r="D154">
        <v>70</v>
      </c>
      <c r="E154">
        <v>72</v>
      </c>
      <c r="F154">
        <v>2</v>
      </c>
      <c r="G154">
        <v>3</v>
      </c>
      <c r="H154" s="1">
        <v>1.6087962962962963E-3</v>
      </c>
      <c r="I154">
        <v>2023</v>
      </c>
      <c r="J154" t="s">
        <v>59</v>
      </c>
      <c r="K154" s="2" t="str">
        <f>HYPERLINK("https://www.nba.com/stats/events?CFID=&amp;CFPARAMS=&amp;GameEventID=404&amp;GameID=0022300151&amp;Season=2023-24&amp;flag=1&amp;title=B.%20Hyland%2011'%20Jump%20Shot%20(5%20PTS)%20(K.%20Leonard%203%20AST)", "B. Hyland 11' Jump Shot (5 PTS) (K. Leonard 3 AST)")</f>
        <v>B. Hyland 11' Jump Shot (5 PTS) (K. Leonard 3 AST)</v>
      </c>
      <c r="L154" s="2" t="str">
        <f>HYPERLINK("https://www.nba.com/game/...-vs-...-0022300151/play-by-play?watchFullGame=true", "LAC vs NYK - Q3 02:19.00")</f>
        <v>LAC vs NYK - Q3 02:19.00</v>
      </c>
      <c r="M154">
        <v>11.62</v>
      </c>
      <c r="N154">
        <v>7.18</v>
      </c>
      <c r="O154">
        <v>26.96</v>
      </c>
      <c r="P154">
        <v>115</v>
      </c>
      <c r="Q154">
        <v>15</v>
      </c>
      <c r="R154">
        <v>7</v>
      </c>
      <c r="S154">
        <v>26</v>
      </c>
      <c r="T154" t="s">
        <v>73</v>
      </c>
    </row>
    <row r="155" spans="1:20" x14ac:dyDescent="0.25">
      <c r="A155">
        <v>21900653</v>
      </c>
      <c r="B155" t="s">
        <v>10</v>
      </c>
      <c r="C155" t="s">
        <v>61</v>
      </c>
      <c r="D155">
        <v>41</v>
      </c>
      <c r="E155">
        <v>39</v>
      </c>
      <c r="F155">
        <v>2</v>
      </c>
      <c r="G155">
        <v>2</v>
      </c>
      <c r="H155" s="1">
        <v>3.1481481481481482E-3</v>
      </c>
      <c r="I155">
        <v>2019</v>
      </c>
      <c r="J155" t="s">
        <v>59</v>
      </c>
      <c r="K155" s="2" t="str">
        <f>HYPERLINK("https://www.nba.com/stats/events?CFID=&amp;CFPARAMS=&amp;GameEventID=282&amp;GameID=0021900653&amp;Season=2019-20&amp;flag=1&amp;title=P.%20Beverley%2023'%203PT%20%20(9%20PTS)%20(K.%20Leonard%201%20AST)", "P. Beverley 23' 3PT  (9 PTS) (K. Leonard 1 AST)")</f>
        <v>P. Beverley 23' 3PT  (9 PTS) (K. Leonard 1 AST)</v>
      </c>
      <c r="L155" s="2" t="str">
        <f>HYPERLINK("https://www.nba.com/game/...-vs-...-0021900653/play-by-play?watchFullGame=true", "LAC vs DAL - Q2 04:32.00")</f>
        <v>LAC vs DAL - Q2 04:32.00</v>
      </c>
      <c r="M155">
        <v>22.93</v>
      </c>
      <c r="N155">
        <v>7.31</v>
      </c>
      <c r="O155">
        <v>95.66</v>
      </c>
      <c r="P155">
        <v>-228</v>
      </c>
      <c r="Q155">
        <v>16</v>
      </c>
      <c r="R155">
        <v>7</v>
      </c>
      <c r="S155">
        <v>95</v>
      </c>
      <c r="T155" t="s">
        <v>73</v>
      </c>
    </row>
    <row r="156" spans="1:20" x14ac:dyDescent="0.25">
      <c r="A156">
        <v>22000009</v>
      </c>
      <c r="B156" t="s">
        <v>4</v>
      </c>
      <c r="C156" t="s">
        <v>64</v>
      </c>
      <c r="D156">
        <v>69</v>
      </c>
      <c r="E156">
        <v>50</v>
      </c>
      <c r="F156">
        <v>19</v>
      </c>
      <c r="G156">
        <v>2</v>
      </c>
      <c r="H156" s="1">
        <v>6.8634259259259256E-4</v>
      </c>
      <c r="I156">
        <v>2020</v>
      </c>
      <c r="J156" t="s">
        <v>59</v>
      </c>
      <c r="K156" s="2" t="str">
        <f>HYPERLINK("https://www.nba.com/stats/events?CFID=&amp;CFPARAMS=&amp;GameEventID=364&amp;GameID=0022000009&amp;Season=2020-21&amp;flag=1&amp;title=N.%20Batum%20running%20finger%20roll%20Layup%20(7%20PTS)%20(K.%20Leonard%205%20AST)", "N. Batum running finger roll Layup (7 PTS) (K. Leonard 5 AST)")</f>
        <v>N. Batum running finger roll Layup (7 PTS) (K. Leonard 5 AST)</v>
      </c>
      <c r="L156" s="2" t="str">
        <f>HYPERLINK("https://www.nba.com/game/...-vs-...-0022000009/play-by-play?watchFullGame=true", "LAC vs DEN - Q2 00:59.30")</f>
        <v>LAC vs DEN - Q2 00:59.30</v>
      </c>
      <c r="M156">
        <v>2.16</v>
      </c>
      <c r="N156">
        <v>7.18</v>
      </c>
      <c r="O156">
        <v>46.88</v>
      </c>
      <c r="P156">
        <v>16</v>
      </c>
      <c r="Q156">
        <v>15</v>
      </c>
      <c r="R156">
        <v>7</v>
      </c>
      <c r="S156">
        <v>46</v>
      </c>
      <c r="T156" t="s">
        <v>73</v>
      </c>
    </row>
    <row r="157" spans="1:20" x14ac:dyDescent="0.25">
      <c r="A157">
        <v>22000061</v>
      </c>
      <c r="B157" t="s">
        <v>4</v>
      </c>
      <c r="C157" t="s">
        <v>64</v>
      </c>
      <c r="D157">
        <v>30</v>
      </c>
      <c r="E157">
        <v>16</v>
      </c>
      <c r="F157">
        <v>14</v>
      </c>
      <c r="G157">
        <v>1</v>
      </c>
      <c r="H157" s="1">
        <v>2.5694444444444445E-3</v>
      </c>
      <c r="I157">
        <v>2020</v>
      </c>
      <c r="J157" t="s">
        <v>59</v>
      </c>
      <c r="K157" s="2" t="str">
        <f>HYPERLINK("https://www.nba.com/stats/events?CFID=&amp;CFPARAMS=&amp;GameEventID=104&amp;GameID=0022000061&amp;Season=2020-21&amp;flag=1&amp;title=L.%20Williams%20driving%20Layup%20(2%20PTS)%20(K.%20Leonard%203%20AST)", "L. Williams driving Layup (2 PTS) (K. Leonard 3 AST)")</f>
        <v>L. Williams driving Layup (2 PTS) (K. Leonard 3 AST)</v>
      </c>
      <c r="L157" s="2" t="str">
        <f>HYPERLINK("https://www.nba.com/game/...-vs-...-0022000061/play-by-play?watchFullGame=true", "LAC vs POR - Q1 03:42.00")</f>
        <v>LAC vs POR - Q1 03:42.00</v>
      </c>
      <c r="M157">
        <v>2.17</v>
      </c>
      <c r="N157">
        <v>7.31</v>
      </c>
      <c r="O157">
        <v>47.13</v>
      </c>
      <c r="P157">
        <v>14</v>
      </c>
      <c r="Q157">
        <v>16</v>
      </c>
      <c r="R157">
        <v>7</v>
      </c>
      <c r="S157">
        <v>47</v>
      </c>
      <c r="T157" t="s">
        <v>73</v>
      </c>
    </row>
    <row r="158" spans="1:20" x14ac:dyDescent="0.25">
      <c r="A158">
        <v>21900035</v>
      </c>
      <c r="B158" t="s">
        <v>4</v>
      </c>
      <c r="C158" t="s">
        <v>69</v>
      </c>
      <c r="D158">
        <v>10</v>
      </c>
      <c r="E158">
        <v>14</v>
      </c>
      <c r="F158">
        <v>4</v>
      </c>
      <c r="G158">
        <v>1</v>
      </c>
      <c r="H158" s="1">
        <v>3.2523148148148147E-3</v>
      </c>
      <c r="I158">
        <v>2019</v>
      </c>
      <c r="J158" t="s">
        <v>59</v>
      </c>
      <c r="K158" s="2" t="str">
        <f>HYPERLINK("https://www.nba.com/stats/events?CFID=&amp;CFPARAMS=&amp;GameEventID=98&amp;GameID=0021900035&amp;Season=2019-20&amp;flag=1&amp;title=[LAC]%20Harrell%20layup:%20Made%20(2%20PTS)%20assist:%20Leonard%20(3%20AST)", "[LAC] Harrell layup: Made (2 PTS) assist: Leonard (3 AST)")</f>
        <v>[LAC] Harrell layup: Made (2 PTS) assist: Leonard (3 AST)</v>
      </c>
      <c r="L158" s="2" t="str">
        <f>HYPERLINK("https://www.nba.com/game/...-vs-...-0021900035/play-by-play?watchFullGame=true", "LAC vs PHX - Q1 04:41.00")</f>
        <v>LAC vs PHX - Q1 04:41.00</v>
      </c>
      <c r="M158">
        <v>5.49</v>
      </c>
      <c r="N158">
        <v>7.7</v>
      </c>
      <c r="O158">
        <v>40.270000000000003</v>
      </c>
      <c r="P158">
        <v>49</v>
      </c>
      <c r="Q158">
        <v>20</v>
      </c>
      <c r="R158">
        <v>7</v>
      </c>
      <c r="S158">
        <v>40</v>
      </c>
      <c r="T158" t="s">
        <v>73</v>
      </c>
    </row>
    <row r="159" spans="1:20" x14ac:dyDescent="0.25">
      <c r="A159">
        <v>21901271</v>
      </c>
      <c r="B159" t="s">
        <v>4</v>
      </c>
      <c r="C159" t="s">
        <v>69</v>
      </c>
      <c r="D159">
        <v>4</v>
      </c>
      <c r="E159">
        <v>2</v>
      </c>
      <c r="F159">
        <v>2</v>
      </c>
      <c r="G159">
        <v>1</v>
      </c>
      <c r="H159" s="1">
        <v>7.5115740740740742E-3</v>
      </c>
      <c r="I159">
        <v>2019</v>
      </c>
      <c r="J159" t="s">
        <v>59</v>
      </c>
      <c r="K159" s="2" t="str">
        <f>HYPERLINK("https://www.nba.com/stats/events?CFID=&amp;CFPARAMS=&amp;GameEventID=13&amp;GameID=0021901271&amp;Season=2019-20&amp;flag=1&amp;title=I.%20Zubac%20layup%20(4%20PTS)%20(K.%20Leonard%201%20AST)", "I. Zubac layup (4 PTS) (K. Leonard 1 AST)")</f>
        <v>I. Zubac layup (4 PTS) (K. Leonard 1 AST)</v>
      </c>
      <c r="L159" s="2" t="str">
        <f>HYPERLINK("https://www.nba.com/game/...-vs-...-0021901271/play-by-play?watchFullGame=true", "LAC vs DAL - Q1 10:49.00")</f>
        <v>LAC vs DAL - Q1 10:49.00</v>
      </c>
      <c r="M159">
        <v>3.58</v>
      </c>
      <c r="N159">
        <v>7.31</v>
      </c>
      <c r="O159">
        <v>55.71</v>
      </c>
      <c r="P159">
        <v>-29</v>
      </c>
      <c r="Q159">
        <v>16</v>
      </c>
      <c r="R159">
        <v>7</v>
      </c>
      <c r="S159">
        <v>55</v>
      </c>
      <c r="T159" t="s">
        <v>73</v>
      </c>
    </row>
    <row r="160" spans="1:20" x14ac:dyDescent="0.25">
      <c r="A160">
        <v>21901291</v>
      </c>
      <c r="B160" t="s">
        <v>4</v>
      </c>
      <c r="C160" t="s">
        <v>69</v>
      </c>
      <c r="D160">
        <v>96</v>
      </c>
      <c r="E160">
        <v>104</v>
      </c>
      <c r="F160">
        <v>8</v>
      </c>
      <c r="G160">
        <v>4</v>
      </c>
      <c r="H160" s="1">
        <v>6.875E-3</v>
      </c>
      <c r="I160">
        <v>2019</v>
      </c>
      <c r="J160" t="s">
        <v>59</v>
      </c>
      <c r="K160" s="2" t="str">
        <f>HYPERLINK("https://www.nba.com/stats/events?CFID=&amp;CFPARAMS=&amp;GameEventID=535&amp;GameID=0021901291&amp;Season=2019-20&amp;flag=1&amp;title=T.%20Mann%20layup%20(8%20PTS)%20(K.%20Leonard%206%20AST)", "T. Mann layup (8 PTS) (K. Leonard 6 AST)")</f>
        <v>T. Mann layup (8 PTS) (K. Leonard 6 AST)</v>
      </c>
      <c r="L160" s="2" t="str">
        <f>HYPERLINK("https://www.nba.com/game/...-vs-...-0021901291/play-by-play?watchFullGame=true", "LAC vs BKN - Q4 09:54.00")</f>
        <v>LAC vs BKN - Q4 09:54.00</v>
      </c>
      <c r="M160">
        <v>4.12</v>
      </c>
      <c r="N160">
        <v>7.84</v>
      </c>
      <c r="O160">
        <v>43.7</v>
      </c>
      <c r="P160">
        <v>32</v>
      </c>
      <c r="Q160">
        <v>21</v>
      </c>
      <c r="R160">
        <v>7</v>
      </c>
      <c r="S160">
        <v>43</v>
      </c>
      <c r="T160" t="s">
        <v>73</v>
      </c>
    </row>
    <row r="161" spans="1:20" x14ac:dyDescent="0.25">
      <c r="A161">
        <v>22200538</v>
      </c>
      <c r="B161" t="s">
        <v>10</v>
      </c>
      <c r="C161" t="s">
        <v>9</v>
      </c>
      <c r="D161">
        <v>83</v>
      </c>
      <c r="E161">
        <v>83</v>
      </c>
      <c r="F161">
        <v>0</v>
      </c>
      <c r="G161">
        <v>3</v>
      </c>
      <c r="H161" s="1">
        <v>3.1134259259259257E-3</v>
      </c>
      <c r="I161">
        <v>2022</v>
      </c>
      <c r="J161" t="s">
        <v>59</v>
      </c>
      <c r="K161" s="2" t="str">
        <f>HYPERLINK("https://www.nba.com/stats/events?CFID=&amp;CFPARAMS=&amp;GameEventID=378&amp;GameID=0022200538&amp;Season=2022-23&amp;flag=1&amp;title=P.%20George%203PT%20%20(24%20PTS)%20(K.%20Leonard%205%20AST)", "P. George 3PT  (24 PTS) (K. Leonard 5 AST)")</f>
        <v>P. George 3PT  (24 PTS) (K. Leonard 5 AST)</v>
      </c>
      <c r="L161" s="2" t="str">
        <f>HYPERLINK("https://www.nba.com/game/...-vs-...-0022200538/play-by-play?watchFullGame=true", "LAC vs IND - Q3 04:29.00")</f>
        <v>LAC vs IND - Q3 04:29.00</v>
      </c>
      <c r="M161">
        <v>23.72</v>
      </c>
      <c r="N161">
        <v>7.57</v>
      </c>
      <c r="O161">
        <v>2.7</v>
      </c>
      <c r="P161">
        <v>237</v>
      </c>
      <c r="Q161">
        <v>19</v>
      </c>
      <c r="R161">
        <v>7</v>
      </c>
      <c r="S161">
        <v>2</v>
      </c>
      <c r="T161" t="s">
        <v>73</v>
      </c>
    </row>
    <row r="162" spans="1:20" x14ac:dyDescent="0.25">
      <c r="A162">
        <v>22000717</v>
      </c>
      <c r="B162" t="s">
        <v>4</v>
      </c>
      <c r="C162" t="s">
        <v>64</v>
      </c>
      <c r="D162">
        <v>50</v>
      </c>
      <c r="E162">
        <v>50</v>
      </c>
      <c r="F162">
        <v>0</v>
      </c>
      <c r="G162">
        <v>2</v>
      </c>
      <c r="H162" s="1">
        <v>1.2962962962962963E-3</v>
      </c>
      <c r="I162">
        <v>2020</v>
      </c>
      <c r="J162" t="s">
        <v>59</v>
      </c>
      <c r="K162" s="2" t="str">
        <f>HYPERLINK("https://www.nba.com/stats/events?CFID=&amp;CFPARAMS=&amp;GameEventID=259&amp;GameID=0022000717&amp;Season=2020-21&amp;flag=1&amp;title=T.%20Mann%20driving%20finger%20roll%20Layup%20(8%20PTS)%20(K.%20Leonard%205%20AST)", "T. Mann driving finger roll Layup (8 PTS) (K. Leonard 5 AST)")</f>
        <v>T. Mann driving finger roll Layup (8 PTS) (K. Leonard 5 AST)</v>
      </c>
      <c r="L162" s="2" t="str">
        <f>HYPERLINK("https://www.nba.com/game/...-vs-...-0022000717/play-by-play?watchFullGame=true", "LAC vs MIL - Q2 01:52.00")</f>
        <v>LAC vs MIL - Q2 01:52.00</v>
      </c>
      <c r="M162">
        <v>2.15</v>
      </c>
      <c r="N162">
        <v>7.7</v>
      </c>
      <c r="O162">
        <v>48.35</v>
      </c>
      <c r="P162">
        <v>8</v>
      </c>
      <c r="Q162">
        <v>20</v>
      </c>
      <c r="R162">
        <v>7</v>
      </c>
      <c r="S162">
        <v>48</v>
      </c>
      <c r="T162" t="s">
        <v>73</v>
      </c>
    </row>
    <row r="163" spans="1:20" x14ac:dyDescent="0.25">
      <c r="A163">
        <v>21900576</v>
      </c>
      <c r="B163" t="s">
        <v>4</v>
      </c>
      <c r="C163" t="s">
        <v>69</v>
      </c>
      <c r="D163">
        <v>101</v>
      </c>
      <c r="E163">
        <v>95</v>
      </c>
      <c r="F163">
        <v>6</v>
      </c>
      <c r="G163">
        <v>4</v>
      </c>
      <c r="H163" s="1">
        <v>2.627314814814815E-3</v>
      </c>
      <c r="I163">
        <v>2019</v>
      </c>
      <c r="J163" t="s">
        <v>59</v>
      </c>
      <c r="K163" s="2" t="str">
        <f>HYPERLINK("https://www.nba.com/stats/events?CFID=&amp;CFPARAMS=&amp;GameEventID=667&amp;GameID=0021900576&amp;Season=2019-20&amp;flag=1&amp;title=M.%20Harrell%20layup%20(11%20PTS)%20(K.%20Leonard%205%20AST)", "M. Harrell layup (11 PTS) (K. Leonard 5 AST)")</f>
        <v>M. Harrell layup (11 PTS) (K. Leonard 5 AST)</v>
      </c>
      <c r="L163" s="2" t="str">
        <f>HYPERLINK("https://www.nba.com/game/...-vs-...-0021900576/play-by-play?watchFullGame=true", "LAC vs GSW - Q4 03:47.00")</f>
        <v>LAC vs GSW - Q4 03:47.00</v>
      </c>
      <c r="M163">
        <v>2.77</v>
      </c>
      <c r="N163">
        <v>7.93</v>
      </c>
      <c r="O163">
        <v>49.44</v>
      </c>
      <c r="P163">
        <v>3</v>
      </c>
      <c r="Q163">
        <v>22</v>
      </c>
      <c r="R163">
        <v>7</v>
      </c>
      <c r="S163">
        <v>49</v>
      </c>
      <c r="T163" t="s">
        <v>73</v>
      </c>
    </row>
    <row r="164" spans="1:20" x14ac:dyDescent="0.25">
      <c r="A164">
        <v>21900618</v>
      </c>
      <c r="B164" t="s">
        <v>4</v>
      </c>
      <c r="C164" t="s">
        <v>69</v>
      </c>
      <c r="D164">
        <v>86</v>
      </c>
      <c r="E164">
        <v>65</v>
      </c>
      <c r="F164">
        <v>21</v>
      </c>
      <c r="G164">
        <v>3</v>
      </c>
      <c r="H164" s="1">
        <v>2.3495370370370371E-3</v>
      </c>
      <c r="I164">
        <v>2019</v>
      </c>
      <c r="J164" t="s">
        <v>59</v>
      </c>
      <c r="K164" s="2" t="str">
        <f>HYPERLINK("https://www.nba.com/stats/events?CFID=&amp;CFPARAMS=&amp;GameEventID=418&amp;GameID=0021900618&amp;Season=2019-20&amp;flag=1&amp;title=M.%20Harrell%20layup%20(11%20PTS)%20(K.%20Leonard%204%20AST)", "M. Harrell layup (11 PTS) (K. Leonard 4 AST)")</f>
        <v>M. Harrell layup (11 PTS) (K. Leonard 4 AST)</v>
      </c>
      <c r="L164" s="2" t="str">
        <f>HYPERLINK("https://www.nba.com/game/...-vs-...-0021900618/play-by-play?watchFullGame=true", "LAC vs ORL - Q3 03:23.00")</f>
        <v>LAC vs ORL - Q3 03:23.00</v>
      </c>
      <c r="M164">
        <v>2.96</v>
      </c>
      <c r="N164">
        <v>7.67</v>
      </c>
      <c r="O164">
        <v>53.12</v>
      </c>
      <c r="P164">
        <v>-16</v>
      </c>
      <c r="Q164">
        <v>20</v>
      </c>
      <c r="R164">
        <v>7</v>
      </c>
      <c r="S164">
        <v>53</v>
      </c>
      <c r="T164" t="s">
        <v>73</v>
      </c>
    </row>
    <row r="165" spans="1:20" x14ac:dyDescent="0.25">
      <c r="A165">
        <v>42000222</v>
      </c>
      <c r="B165" t="s">
        <v>4</v>
      </c>
      <c r="C165" t="s">
        <v>64</v>
      </c>
      <c r="D165">
        <v>46</v>
      </c>
      <c r="E165">
        <v>47</v>
      </c>
      <c r="F165">
        <v>1</v>
      </c>
      <c r="G165">
        <v>2</v>
      </c>
      <c r="H165" s="1">
        <v>3.6342592592592594E-3</v>
      </c>
      <c r="I165" t="s">
        <v>71</v>
      </c>
      <c r="J165" t="s">
        <v>59</v>
      </c>
      <c r="K165" s="2" t="str">
        <f>HYPERLINK("https://www.nba.com/stats/events?CFID=&amp;CFPARAMS=&amp;GameEventID=233&amp;GameID=0042000222&amp;Season=2020-21&amp;flag=1&amp;title=M.%20Morris%20Sr.%20driving%20Layup%20(6%20PTS)%20(K.%20Leonard%203%20AST)", "M. Morris Sr. driving Layup (6 PTS) (K. Leonard 3 AST)")</f>
        <v>M. Morris Sr. driving Layup (6 PTS) (K. Leonard 3 AST)</v>
      </c>
      <c r="L165" s="2" t="str">
        <f>HYPERLINK("https://www.nba.com/game/...-vs-...-0042000222/play-by-play?watchFullGame=true", "LAC vs UTA - Q2 05:14.00")</f>
        <v>LAC vs UTA - Q2 05:14.00</v>
      </c>
      <c r="M165">
        <v>4.58</v>
      </c>
      <c r="N165">
        <v>7.7</v>
      </c>
      <c r="O165">
        <v>41.74</v>
      </c>
      <c r="P165">
        <v>7</v>
      </c>
      <c r="Q165">
        <v>41</v>
      </c>
      <c r="R165">
        <v>7</v>
      </c>
      <c r="S165">
        <v>41</v>
      </c>
      <c r="T165" t="s">
        <v>73</v>
      </c>
    </row>
    <row r="166" spans="1:20" x14ac:dyDescent="0.25">
      <c r="A166">
        <v>22000457</v>
      </c>
      <c r="B166" t="s">
        <v>4</v>
      </c>
      <c r="C166" t="s">
        <v>64</v>
      </c>
      <c r="D166">
        <v>6</v>
      </c>
      <c r="E166">
        <v>7</v>
      </c>
      <c r="F166">
        <v>1</v>
      </c>
      <c r="G166">
        <v>1</v>
      </c>
      <c r="H166" s="1">
        <v>6.4236111111111108E-3</v>
      </c>
      <c r="I166">
        <v>2020</v>
      </c>
      <c r="J166" t="s">
        <v>59</v>
      </c>
      <c r="K166" s="2" t="str">
        <f>HYPERLINK("https://www.nba.com/stats/events?CFID=&amp;CFPARAMS=&amp;GameEventID=25&amp;GameID=0022000457&amp;Season=2020-21&amp;flag=1&amp;title=P.%20Beverley%20running%20Layup%20(2%20PTS)%20(K.%20Leonard%201%20AST)", "P. Beverley running Layup (2 PTS) (K. Leonard 1 AST)")</f>
        <v>P. Beverley running Layup (2 PTS) (K. Leonard 1 AST)</v>
      </c>
      <c r="L166" s="2" t="str">
        <f>HYPERLINK("https://www.nba.com/game/...-vs-...-0022000457/play-by-play?watchFullGame=true", "LAC vs UTA - Q1 09:15.00")</f>
        <v>LAC vs UTA - Q1 09:15.00</v>
      </c>
      <c r="M166">
        <v>1.55</v>
      </c>
      <c r="N166">
        <v>7.18</v>
      </c>
      <c r="O166">
        <v>50.8</v>
      </c>
      <c r="P166">
        <v>-4</v>
      </c>
      <c r="Q166">
        <v>15</v>
      </c>
      <c r="R166">
        <v>7</v>
      </c>
      <c r="S166">
        <v>50</v>
      </c>
      <c r="T166" t="s">
        <v>73</v>
      </c>
    </row>
    <row r="167" spans="1:20" x14ac:dyDescent="0.25">
      <c r="A167">
        <v>22000328</v>
      </c>
      <c r="B167" t="s">
        <v>4</v>
      </c>
      <c r="C167" t="s">
        <v>64</v>
      </c>
      <c r="D167">
        <v>20</v>
      </c>
      <c r="E167">
        <v>13</v>
      </c>
      <c r="F167">
        <v>7</v>
      </c>
      <c r="G167">
        <v>1</v>
      </c>
      <c r="H167" s="1">
        <v>4.6412037037037038E-3</v>
      </c>
      <c r="I167">
        <v>2020</v>
      </c>
      <c r="J167" t="s">
        <v>59</v>
      </c>
      <c r="K167" s="2" t="str">
        <f>HYPERLINK("https://www.nba.com/stats/events?CFID=&amp;CFPARAMS=&amp;GameEventID=54&amp;GameID=0022000328&amp;Season=2020-21&amp;flag=1&amp;title=N.%20Batum%20alley-oop%20Layup%20(2%20PTS)%20(K.%20Leonard%201%20AST)", "N. Batum alley-oop Layup (2 PTS) (K. Leonard 1 AST)")</f>
        <v>N. Batum alley-oop Layup (2 PTS) (K. Leonard 1 AST)</v>
      </c>
      <c r="L167" s="2" t="str">
        <f>HYPERLINK("https://www.nba.com/game/...-vs-...-0022000328/play-by-play?watchFullGame=true", "LAC vs CLE - Q1 06:41.00")</f>
        <v>LAC vs CLE - Q1 06:41.00</v>
      </c>
      <c r="M167">
        <v>1.72</v>
      </c>
      <c r="N167">
        <v>7.31</v>
      </c>
      <c r="O167">
        <v>48.84</v>
      </c>
      <c r="P167">
        <v>6</v>
      </c>
      <c r="Q167">
        <v>16</v>
      </c>
      <c r="R167">
        <v>7</v>
      </c>
      <c r="S167">
        <v>48</v>
      </c>
      <c r="T167" t="s">
        <v>73</v>
      </c>
    </row>
    <row r="168" spans="1:20" x14ac:dyDescent="0.25">
      <c r="A168">
        <v>22300799</v>
      </c>
      <c r="B168" t="s">
        <v>4</v>
      </c>
      <c r="C168" t="s">
        <v>9</v>
      </c>
      <c r="D168">
        <v>50</v>
      </c>
      <c r="E168">
        <v>52</v>
      </c>
      <c r="F168">
        <v>2</v>
      </c>
      <c r="G168">
        <v>2</v>
      </c>
      <c r="H168" s="1">
        <v>2.9745370370370373E-3</v>
      </c>
      <c r="I168">
        <v>2023</v>
      </c>
      <c r="J168" t="s">
        <v>59</v>
      </c>
      <c r="K168" s="2" t="str">
        <f>HYPERLINK("https://www.nba.com/stats/events?CFID=&amp;CFPARAMS=&amp;GameEventID=263&amp;GameID=0022300799&amp;Season=2023-24&amp;flag=1&amp;title=N.%20Powell%2013'%20pullup%20Jump%20Shot%20(14%20PTS)%20(K.%20Leonard%202%20AST)", "N. Powell 13' pullup Jump Shot (14 PTS) (K. Leonard 2 AST)")</f>
        <v>N. Powell 13' pullup Jump Shot (14 PTS) (K. Leonard 2 AST)</v>
      </c>
      <c r="L168" s="2" t="str">
        <f>HYPERLINK("https://www.nba.com/game/...-vs-...-0022300799/play-by-play?watchFullGame=true", "LAC vs OKC - Q2 04:17.00")</f>
        <v>LAC vs OKC - Q2 04:17.00</v>
      </c>
      <c r="M168">
        <v>13.76</v>
      </c>
      <c r="N168">
        <v>7.84</v>
      </c>
      <c r="O168">
        <v>77.209999999999994</v>
      </c>
      <c r="P168">
        <v>-136</v>
      </c>
      <c r="Q168">
        <v>21</v>
      </c>
      <c r="R168">
        <v>7</v>
      </c>
      <c r="S168">
        <v>77</v>
      </c>
      <c r="T168" t="s">
        <v>73</v>
      </c>
    </row>
    <row r="169" spans="1:20" x14ac:dyDescent="0.25">
      <c r="A169">
        <v>21900239</v>
      </c>
      <c r="B169" t="s">
        <v>4</v>
      </c>
      <c r="C169" t="s">
        <v>63</v>
      </c>
      <c r="D169">
        <v>77</v>
      </c>
      <c r="E169">
        <v>67</v>
      </c>
      <c r="F169">
        <v>10</v>
      </c>
      <c r="G169">
        <v>3</v>
      </c>
      <c r="H169" s="1">
        <v>5.7986111111111112E-3</v>
      </c>
      <c r="I169">
        <v>2019</v>
      </c>
      <c r="J169" t="s">
        <v>59</v>
      </c>
      <c r="K169" s="2" t="str">
        <f>HYPERLINK("https://www.nba.com/stats/events?CFID=&amp;CFPARAMS=&amp;GameEventID=398&amp;GameID=0021900239&amp;Season=2019-20&amp;flag=1&amp;title=I.%20Zubac%20dunk%20(5%20PTS)%20(K.%20Leonard%205%20AST)", "I. Zubac dunk (5 PTS) (K. Leonard 5 AST)")</f>
        <v>I. Zubac dunk (5 PTS) (K. Leonard 5 AST)</v>
      </c>
      <c r="L169" s="2" t="str">
        <f>HYPERLINK("https://www.nba.com/game/...-vs-...-0021900239/play-by-play?watchFullGame=true", "LAC vs NOP - Q3 08:21.00")</f>
        <v>LAC vs NOP - Q3 08:21.00</v>
      </c>
      <c r="M169">
        <v>1.95</v>
      </c>
      <c r="N169">
        <v>7.01</v>
      </c>
      <c r="O169">
        <v>50.91</v>
      </c>
      <c r="P169">
        <v>-5</v>
      </c>
      <c r="Q169">
        <v>13</v>
      </c>
      <c r="R169">
        <v>7</v>
      </c>
      <c r="S169">
        <v>50</v>
      </c>
      <c r="T169" t="s">
        <v>73</v>
      </c>
    </row>
    <row r="170" spans="1:20" x14ac:dyDescent="0.25">
      <c r="A170">
        <v>22000224</v>
      </c>
      <c r="B170" t="s">
        <v>10</v>
      </c>
      <c r="C170" t="s">
        <v>9</v>
      </c>
      <c r="D170">
        <v>76</v>
      </c>
      <c r="E170">
        <v>63</v>
      </c>
      <c r="F170">
        <v>13</v>
      </c>
      <c r="G170">
        <v>3</v>
      </c>
      <c r="H170" s="1">
        <v>5.3356481481481484E-3</v>
      </c>
      <c r="I170">
        <v>2020</v>
      </c>
      <c r="J170" t="s">
        <v>59</v>
      </c>
      <c r="K170" s="2" t="str">
        <f>HYPERLINK("https://www.nba.com/stats/events?CFID=&amp;CFPARAMS=&amp;GameEventID=364&amp;GameID=0022000224&amp;Season=2020-21&amp;flag=1&amp;title=P.%20George%203PT%20running%20(15%20PTS)%20(K.%20Leonard%203%20AST)", "P. George 3PT running (15 PTS) (K. Leonard 3 AST)")</f>
        <v>P. George 3PT running (15 PTS) (K. Leonard 3 AST)</v>
      </c>
      <c r="L170" s="2" t="str">
        <f>HYPERLINK("https://www.nba.com/game/...-vs-...-0022000224/play-by-play?watchFullGame=true", "LAC vs SAC - Q3 07:41.00")</f>
        <v>LAC vs SAC - Q3 07:41.00</v>
      </c>
      <c r="M170">
        <v>22.38</v>
      </c>
      <c r="N170">
        <v>7.05</v>
      </c>
      <c r="O170">
        <v>94.68</v>
      </c>
      <c r="P170">
        <v>-223</v>
      </c>
      <c r="Q170">
        <v>14</v>
      </c>
      <c r="R170">
        <v>7</v>
      </c>
      <c r="S170">
        <v>94</v>
      </c>
      <c r="T170" t="s">
        <v>73</v>
      </c>
    </row>
    <row r="171" spans="1:20" x14ac:dyDescent="0.25">
      <c r="A171">
        <v>22000387</v>
      </c>
      <c r="B171" t="s">
        <v>4</v>
      </c>
      <c r="C171" t="s">
        <v>64</v>
      </c>
      <c r="D171">
        <v>61</v>
      </c>
      <c r="E171">
        <v>58</v>
      </c>
      <c r="F171">
        <v>3</v>
      </c>
      <c r="G171">
        <v>3</v>
      </c>
      <c r="H171" s="1">
        <v>4.5023148148148149E-3</v>
      </c>
      <c r="I171">
        <v>2020</v>
      </c>
      <c r="J171" t="s">
        <v>59</v>
      </c>
      <c r="K171" s="2" t="str">
        <f>HYPERLINK("https://www.nba.com/stats/events?CFID=&amp;CFPARAMS=&amp;GameEventID=398&amp;GameID=0022000387&amp;Season=2020-21&amp;flag=1&amp;title=R.%20Jackson%20running%20Layup%20(8%20PTS)%20(K.%20Leonard%204%20AST)", "R. Jackson running Layup (8 PTS) (K. Leonard 4 AST)")</f>
        <v>R. Jackson running Layup (8 PTS) (K. Leonard 4 AST)</v>
      </c>
      <c r="L171" s="2" t="str">
        <f>HYPERLINK("https://www.nba.com/game/...-vs-...-0022000387/play-by-play?watchFullGame=true", "LAC vs MIN - Q3 06:29.00")</f>
        <v>LAC vs MIN - Q3 06:29.00</v>
      </c>
      <c r="M171">
        <v>1.74</v>
      </c>
      <c r="N171">
        <v>7.05</v>
      </c>
      <c r="O171">
        <v>47.86</v>
      </c>
      <c r="P171">
        <v>11</v>
      </c>
      <c r="Q171">
        <v>14</v>
      </c>
      <c r="R171">
        <v>7</v>
      </c>
      <c r="S171">
        <v>47</v>
      </c>
      <c r="T171" t="s">
        <v>73</v>
      </c>
    </row>
    <row r="172" spans="1:20" x14ac:dyDescent="0.25">
      <c r="A172">
        <v>22200363</v>
      </c>
      <c r="B172" t="s">
        <v>10</v>
      </c>
      <c r="C172" t="s">
        <v>9</v>
      </c>
      <c r="D172">
        <v>18</v>
      </c>
      <c r="E172">
        <v>6</v>
      </c>
      <c r="F172">
        <v>12</v>
      </c>
      <c r="G172">
        <v>1</v>
      </c>
      <c r="H172" s="1">
        <v>4.0277777777777777E-3</v>
      </c>
      <c r="I172">
        <v>2022</v>
      </c>
      <c r="J172" t="s">
        <v>59</v>
      </c>
      <c r="K172" s="2" t="str">
        <f>HYPERLINK("https://www.nba.com/stats/events?CFID=&amp;CFPARAMS=&amp;GameEventID=82&amp;GameID=0022200363&amp;Season=2022-23&amp;flag=1&amp;title=T.%20Mann%203PT%20%20(6%20PTS)%20(K.%20Leonard%201%20AST)", "T. Mann 3PT  (6 PTS) (K. Leonard 1 AST)")</f>
        <v>T. Mann 3PT  (6 PTS) (K. Leonard 1 AST)</v>
      </c>
      <c r="L172" s="2" t="str">
        <f>HYPERLINK("https://www.nba.com/game/...-vs-...-0022200363/play-by-play?watchFullGame=true", "LAC vs ORL - Q1 05:48.00")</f>
        <v>LAC vs ORL - Q1 05:48.00</v>
      </c>
      <c r="M172">
        <v>23.94</v>
      </c>
      <c r="N172">
        <v>7.05</v>
      </c>
      <c r="O172">
        <v>2.21</v>
      </c>
      <c r="P172">
        <v>239</v>
      </c>
      <c r="Q172">
        <v>14</v>
      </c>
      <c r="R172">
        <v>7</v>
      </c>
      <c r="S172">
        <v>2</v>
      </c>
      <c r="T172" t="s">
        <v>73</v>
      </c>
    </row>
    <row r="173" spans="1:20" x14ac:dyDescent="0.25">
      <c r="A173">
        <v>22000756</v>
      </c>
      <c r="B173" t="s">
        <v>4</v>
      </c>
      <c r="C173" t="s">
        <v>9</v>
      </c>
      <c r="D173">
        <v>87</v>
      </c>
      <c r="E173">
        <v>68</v>
      </c>
      <c r="F173">
        <v>19</v>
      </c>
      <c r="G173">
        <v>4</v>
      </c>
      <c r="H173" s="1">
        <v>5.138888888888889E-3</v>
      </c>
      <c r="I173">
        <v>2020</v>
      </c>
      <c r="J173" t="s">
        <v>59</v>
      </c>
      <c r="K173" s="2" t="str">
        <f>HYPERLINK("https://www.nba.com/stats/events?CFID=&amp;CFPARAMS=&amp;GameEventID=541&amp;GameID=0022000756&amp;Season=2020-21&amp;flag=1&amp;title=L.%20Kennard%2014'%20Jump%20Shot%20(7%20PTS)%20(K.%20Leonard%207%20AST)", "L. Kennard 14' Jump Shot (7 PTS) (K. Leonard 7 AST)")</f>
        <v>L. Kennard 14' Jump Shot (7 PTS) (K. Leonard 7 AST)</v>
      </c>
      <c r="L173" s="2" t="str">
        <f>HYPERLINK("https://www.nba.com/game/...-vs-...-0022000756/play-by-play?watchFullGame=true", "LAC vs LAL - Q4 07:24.00")</f>
        <v>LAC vs LAL - Q4 07:24.00</v>
      </c>
      <c r="M173">
        <v>14.25</v>
      </c>
      <c r="N173">
        <v>7.05</v>
      </c>
      <c r="O173">
        <v>21.64</v>
      </c>
      <c r="P173">
        <v>142</v>
      </c>
      <c r="Q173">
        <v>14</v>
      </c>
      <c r="R173">
        <v>7</v>
      </c>
      <c r="S173">
        <v>21</v>
      </c>
      <c r="T173" t="s">
        <v>73</v>
      </c>
    </row>
    <row r="174" spans="1:20" x14ac:dyDescent="0.25">
      <c r="A174">
        <v>22300372</v>
      </c>
      <c r="B174" t="s">
        <v>4</v>
      </c>
      <c r="C174" t="s">
        <v>64</v>
      </c>
      <c r="D174">
        <v>113</v>
      </c>
      <c r="E174">
        <v>110</v>
      </c>
      <c r="F174">
        <v>3</v>
      </c>
      <c r="G174">
        <v>4</v>
      </c>
      <c r="H174" s="1">
        <v>1.5972222222222223E-3</v>
      </c>
      <c r="I174">
        <v>2023</v>
      </c>
      <c r="J174" t="s">
        <v>59</v>
      </c>
      <c r="K174" s="2" t="str">
        <f>HYPERLINK("https://www.nba.com/stats/events?CFID=&amp;CFPARAMS=&amp;GameEventID=581&amp;GameID=0022300372&amp;Season=2023-24&amp;flag=1&amp;title=N.%20Powell%20cutting%20Layup%20(20%20PTS)%20(K.%20Leonard%205%20AST)", "N. Powell cutting Layup (20 PTS) (K. Leonard 5 AST)")</f>
        <v>N. Powell cutting Layup (20 PTS) (K. Leonard 5 AST)</v>
      </c>
      <c r="L174" s="2" t="str">
        <f>HYPERLINK("https://www.nba.com/game/...-vs-...-0022300372/play-by-play?watchFullGame=true", "LAC vs DAL - Q4 02:18.00")</f>
        <v>LAC vs DAL - Q4 02:18.00</v>
      </c>
      <c r="M174">
        <v>2.1</v>
      </c>
      <c r="N174">
        <v>7.18</v>
      </c>
      <c r="O174">
        <v>52.94</v>
      </c>
      <c r="P174">
        <v>-15</v>
      </c>
      <c r="Q174">
        <v>15</v>
      </c>
      <c r="R174">
        <v>7</v>
      </c>
      <c r="S174">
        <v>52</v>
      </c>
      <c r="T174" t="s">
        <v>73</v>
      </c>
    </row>
    <row r="175" spans="1:20" x14ac:dyDescent="0.25">
      <c r="A175">
        <v>22201129</v>
      </c>
      <c r="B175" t="s">
        <v>4</v>
      </c>
      <c r="C175" t="s">
        <v>70</v>
      </c>
      <c r="D175">
        <v>16</v>
      </c>
      <c r="E175">
        <v>13</v>
      </c>
      <c r="F175">
        <v>3</v>
      </c>
      <c r="G175">
        <v>1</v>
      </c>
      <c r="H175" s="1">
        <v>4.9537037037037041E-3</v>
      </c>
      <c r="I175">
        <v>2022</v>
      </c>
      <c r="J175" t="s">
        <v>59</v>
      </c>
      <c r="K175" s="2" t="str">
        <f>HYPERLINK("https://www.nba.com/stats/events?CFID=&amp;CFPARAMS=&amp;GameEventID=57&amp;GameID=0022201129&amp;Season=2022-23&amp;flag=1&amp;title=I.%20Zubac%20bank%20Hook%20(2%20PTS)%20(K.%20Leonard%202%20AST)", "I. Zubac bank Hook (2 PTS) (K. Leonard 2 AST)")</f>
        <v>I. Zubac bank Hook (2 PTS) (K. Leonard 2 AST)</v>
      </c>
      <c r="L175" s="2" t="str">
        <f>HYPERLINK("https://www.nba.com/game/...-vs-...-0022201129/play-by-play?watchFullGame=true", "LAC vs CHI - Q1 07:08.00")</f>
        <v>LAC vs CHI - Q1 07:08.00</v>
      </c>
      <c r="M175">
        <v>2.4300000000000002</v>
      </c>
      <c r="N175">
        <v>7.41</v>
      </c>
      <c r="O175">
        <v>46.57</v>
      </c>
      <c r="P175">
        <v>17</v>
      </c>
      <c r="Q175">
        <v>17</v>
      </c>
      <c r="R175">
        <v>7</v>
      </c>
      <c r="S175">
        <v>46</v>
      </c>
      <c r="T175" t="s">
        <v>73</v>
      </c>
    </row>
    <row r="176" spans="1:20" x14ac:dyDescent="0.25">
      <c r="A176">
        <v>22300944</v>
      </c>
      <c r="B176" t="s">
        <v>4</v>
      </c>
      <c r="C176" t="s">
        <v>65</v>
      </c>
      <c r="D176">
        <v>25</v>
      </c>
      <c r="E176">
        <v>10</v>
      </c>
      <c r="F176">
        <v>15</v>
      </c>
      <c r="G176">
        <v>1</v>
      </c>
      <c r="H176" s="1">
        <v>2.673611111111111E-3</v>
      </c>
      <c r="I176">
        <v>2023</v>
      </c>
      <c r="J176" t="s">
        <v>59</v>
      </c>
      <c r="K176" s="2" t="str">
        <f>HYPERLINK("https://www.nba.com/stats/events?CFID=&amp;CFPARAMS=&amp;GameEventID=96&amp;GameID=0022300944&amp;Season=2023-24&amp;flag=1&amp;title=P.%20George%20driving%20DUNK%20(7%20PTS)%20(K.%20Leonard%202%20AST)", "P. George driving DUNK (7 PTS) (K. Leonard 2 AST)")</f>
        <v>P. George driving DUNK (7 PTS) (K. Leonard 2 AST)</v>
      </c>
      <c r="L176" s="2" t="str">
        <f>HYPERLINK("https://www.nba.com/game/...-vs-...-0022300944/play-by-play?watchFullGame=true", "LAC vs MIN - Q1 03:51.00")</f>
        <v>LAC vs MIN - Q1 03:51.00</v>
      </c>
      <c r="M176">
        <v>2.2999999999999998</v>
      </c>
      <c r="N176">
        <v>7.8</v>
      </c>
      <c r="O176">
        <v>48.04</v>
      </c>
      <c r="P176">
        <v>10</v>
      </c>
      <c r="Q176">
        <v>21</v>
      </c>
      <c r="R176">
        <v>7</v>
      </c>
      <c r="S176">
        <v>48</v>
      </c>
      <c r="T176" t="s">
        <v>73</v>
      </c>
    </row>
    <row r="177" spans="1:20" x14ac:dyDescent="0.25">
      <c r="A177">
        <v>22300880</v>
      </c>
      <c r="B177" t="s">
        <v>4</v>
      </c>
      <c r="C177" t="s">
        <v>64</v>
      </c>
      <c r="D177">
        <v>11</v>
      </c>
      <c r="E177">
        <v>11</v>
      </c>
      <c r="F177">
        <v>0</v>
      </c>
      <c r="G177">
        <v>1</v>
      </c>
      <c r="H177" s="1">
        <v>5.1736111111111115E-3</v>
      </c>
      <c r="I177">
        <v>2023</v>
      </c>
      <c r="J177" t="s">
        <v>59</v>
      </c>
      <c r="K177" s="2" t="str">
        <f>HYPERLINK("https://www.nba.com/stats/events?CFID=&amp;CFPARAMS=&amp;GameEventID=47&amp;GameID=0022300880&amp;Season=2023-24&amp;flag=1&amp;title=T.%20Mann%20running%20Layup%20(2%20PTS)%20(K.%20Leonard%202%20AST)", "T. Mann running Layup (2 PTS) (K. Leonard 2 AST)")</f>
        <v>T. Mann running Layup (2 PTS) (K. Leonard 2 AST)</v>
      </c>
      <c r="L177" s="2" t="str">
        <f>HYPERLINK("https://www.nba.com/game/...-vs-...-0022300880/play-by-play?watchFullGame=true", "LAC vs MIL - Q1 07:27.00")</f>
        <v>LAC vs MIL - Q1 07:27.00</v>
      </c>
      <c r="M177">
        <v>1.66</v>
      </c>
      <c r="N177">
        <v>7.31</v>
      </c>
      <c r="O177">
        <v>50.74</v>
      </c>
      <c r="P177">
        <v>-4</v>
      </c>
      <c r="Q177">
        <v>16</v>
      </c>
      <c r="R177">
        <v>7</v>
      </c>
      <c r="S177">
        <v>50</v>
      </c>
      <c r="T177" t="s">
        <v>73</v>
      </c>
    </row>
    <row r="178" spans="1:20" x14ac:dyDescent="0.25">
      <c r="A178">
        <v>22200871</v>
      </c>
      <c r="B178" t="s">
        <v>4</v>
      </c>
      <c r="C178" t="s">
        <v>65</v>
      </c>
      <c r="D178">
        <v>92</v>
      </c>
      <c r="E178">
        <v>89</v>
      </c>
      <c r="F178">
        <v>3</v>
      </c>
      <c r="G178">
        <v>3</v>
      </c>
      <c r="H178" s="1">
        <v>2.7430555555555554E-3</v>
      </c>
      <c r="I178">
        <v>2022</v>
      </c>
      <c r="J178" t="s">
        <v>59</v>
      </c>
      <c r="K178" s="2" t="str">
        <f>HYPERLINK("https://www.nba.com/stats/events?CFID=&amp;CFPARAMS=&amp;GameEventID=426&amp;GameID=0022200871&amp;Season=2022-23&amp;flag=1&amp;title=T.%20Mann%20cutting%20DUNK%20(16%20PTS)%20(K.%20Leonard%204%20AST)", "T. Mann cutting DUNK (16 PTS) (K. Leonard 4 AST)")</f>
        <v>T. Mann cutting DUNK (16 PTS) (K. Leonard 4 AST)</v>
      </c>
      <c r="L178" s="2" t="str">
        <f>HYPERLINK("https://www.nba.com/game/...-vs-...-0022200871/play-by-play?watchFullGame=true", "LAC vs GSW - Q3 03:57.00")</f>
        <v>LAC vs GSW - Q3 03:57.00</v>
      </c>
      <c r="M178">
        <v>1.52</v>
      </c>
      <c r="N178">
        <v>7.15</v>
      </c>
      <c r="O178">
        <v>50.74</v>
      </c>
      <c r="P178">
        <v>-4</v>
      </c>
      <c r="Q178">
        <v>15</v>
      </c>
      <c r="R178">
        <v>7</v>
      </c>
      <c r="S178">
        <v>50</v>
      </c>
      <c r="T178" t="s">
        <v>73</v>
      </c>
    </row>
    <row r="179" spans="1:20" x14ac:dyDescent="0.25">
      <c r="A179">
        <v>22201096</v>
      </c>
      <c r="B179" t="s">
        <v>4</v>
      </c>
      <c r="C179" t="s">
        <v>64</v>
      </c>
      <c r="D179">
        <v>63</v>
      </c>
      <c r="E179">
        <v>61</v>
      </c>
      <c r="F179">
        <v>2</v>
      </c>
      <c r="G179">
        <v>3</v>
      </c>
      <c r="H179" s="1">
        <v>5.9722222222222225E-3</v>
      </c>
      <c r="I179">
        <v>2022</v>
      </c>
      <c r="J179" t="s">
        <v>59</v>
      </c>
      <c r="K179" s="2" t="str">
        <f>HYPERLINK("https://www.nba.com/stats/events?CFID=&amp;CFPARAMS=&amp;GameEventID=369&amp;GameID=0022201096&amp;Season=2022-23&amp;flag=1&amp;title=E.%20Gordon%20driving%20Layup%20(8%20PTS)%20(K.%20Leonard%204%20AST)", "E. Gordon driving Layup (8 PTS) (K. Leonard 4 AST)")</f>
        <v>E. Gordon driving Layup (8 PTS) (K. Leonard 4 AST)</v>
      </c>
      <c r="L179" s="2" t="str">
        <f>HYPERLINK("https://www.nba.com/game/...-vs-...-0022201096/play-by-play?watchFullGame=true", "LAC vs OKC - Q3 08:36.00")</f>
        <v>LAC vs OKC - Q3 08:36.00</v>
      </c>
      <c r="M179">
        <v>2.37</v>
      </c>
      <c r="N179">
        <v>7.01</v>
      </c>
      <c r="O179">
        <v>46.08</v>
      </c>
      <c r="P179">
        <v>20</v>
      </c>
      <c r="Q179">
        <v>13</v>
      </c>
      <c r="R179">
        <v>7</v>
      </c>
      <c r="S179">
        <v>46</v>
      </c>
      <c r="T179" t="s">
        <v>73</v>
      </c>
    </row>
    <row r="180" spans="1:20" x14ac:dyDescent="0.25">
      <c r="A180">
        <v>22200649</v>
      </c>
      <c r="B180" t="s">
        <v>4</v>
      </c>
      <c r="C180" t="s">
        <v>64</v>
      </c>
      <c r="D180">
        <v>64</v>
      </c>
      <c r="E180">
        <v>63</v>
      </c>
      <c r="F180">
        <v>1</v>
      </c>
      <c r="G180">
        <v>3</v>
      </c>
      <c r="H180" s="1">
        <v>8.0324074074074082E-3</v>
      </c>
      <c r="I180">
        <v>2022</v>
      </c>
      <c r="J180" t="s">
        <v>59</v>
      </c>
      <c r="K180" s="2" t="str">
        <f>HYPERLINK("https://www.nba.com/stats/events?CFID=&amp;CFPARAMS=&amp;GameEventID=324&amp;GameID=0022200649&amp;Season=2022-23&amp;flag=1&amp;title=T.%20Mann%20driving%20finger%20roll%20Layup%20(20%20PTS)%20(K.%20Leonard%203%20AST)", "T. Mann driving finger roll Layup (20 PTS) (K. Leonard 3 AST)")</f>
        <v>T. Mann driving finger roll Layup (20 PTS) (K. Leonard 3 AST)</v>
      </c>
      <c r="L180" s="2" t="str">
        <f>HYPERLINK("https://www.nba.com/game/...-vs-...-0022200649/play-by-play?watchFullGame=true", "LAC vs HOU - Q3 11:34.00")</f>
        <v>LAC vs HOU - Q3 11:34.00</v>
      </c>
      <c r="M180">
        <v>1.81</v>
      </c>
      <c r="N180">
        <v>7.28</v>
      </c>
      <c r="O180">
        <v>51.72</v>
      </c>
      <c r="P180">
        <v>-9</v>
      </c>
      <c r="Q180">
        <v>16</v>
      </c>
      <c r="R180">
        <v>7</v>
      </c>
      <c r="S180">
        <v>51</v>
      </c>
      <c r="T180" t="s">
        <v>73</v>
      </c>
    </row>
    <row r="181" spans="1:20" x14ac:dyDescent="0.25">
      <c r="A181">
        <v>41900236</v>
      </c>
      <c r="B181" t="s">
        <v>4</v>
      </c>
      <c r="C181" t="s">
        <v>69</v>
      </c>
      <c r="D181">
        <v>51</v>
      </c>
      <c r="E181">
        <v>45</v>
      </c>
      <c r="F181">
        <v>6</v>
      </c>
      <c r="G181">
        <v>2</v>
      </c>
      <c r="H181" s="1">
        <v>2.673611111111111E-3</v>
      </c>
      <c r="I181" t="s">
        <v>62</v>
      </c>
      <c r="J181" t="s">
        <v>59</v>
      </c>
      <c r="K181" s="2" t="str">
        <f>HYPERLINK("https://www.nba.com/stats/events?CFID=&amp;CFPARAMS=&amp;GameEventID=258&amp;GameID=0041900236&amp;Season=2019-20&amp;flag=1&amp;title=P.%20George%20layup%20(15%20PTS)%20(K.%20Leonard%203%20AST)", "P. George layup (15 PTS) (K. Leonard 3 AST)")</f>
        <v>P. George layup (15 PTS) (K. Leonard 3 AST)</v>
      </c>
      <c r="L181" s="2" t="str">
        <f>HYPERLINK("https://www.nba.com/game/...-vs-...-0041900236/play-by-play?watchFullGame=true", "LAC vs DEN - Q2 03:51.00")</f>
        <v>LAC vs DEN - Q2 03:51.00</v>
      </c>
      <c r="M181">
        <v>2.4300000000000002</v>
      </c>
      <c r="N181">
        <v>7.44</v>
      </c>
      <c r="O181">
        <v>48.35</v>
      </c>
      <c r="P181">
        <v>8</v>
      </c>
      <c r="Q181">
        <v>17</v>
      </c>
      <c r="R181">
        <v>7</v>
      </c>
      <c r="S181">
        <v>48</v>
      </c>
      <c r="T181" t="s">
        <v>73</v>
      </c>
    </row>
    <row r="182" spans="1:20" x14ac:dyDescent="0.25">
      <c r="A182">
        <v>22301064</v>
      </c>
      <c r="B182" t="s">
        <v>4</v>
      </c>
      <c r="C182" t="s">
        <v>64</v>
      </c>
      <c r="D182">
        <v>10</v>
      </c>
      <c r="E182">
        <v>8</v>
      </c>
      <c r="F182">
        <v>2</v>
      </c>
      <c r="G182">
        <v>1</v>
      </c>
      <c r="H182" s="1">
        <v>4.3750000000000004E-3</v>
      </c>
      <c r="I182">
        <v>2023</v>
      </c>
      <c r="J182" t="s">
        <v>59</v>
      </c>
      <c r="K182" s="2" t="str">
        <f>HYPERLINK("https://www.nba.com/stats/events?CFID=&amp;CFPARAMS=&amp;GameEventID=55&amp;GameID=0022301064&amp;Season=2023-24&amp;flag=1&amp;title=P.%20George%20running%20Layup%20(2%20PTS)%20(K.%20Leonard%202%20AST)", "P. George running Layup (2 PTS) (K. Leonard 2 AST)")</f>
        <v>P. George running Layup (2 PTS) (K. Leonard 2 AST)</v>
      </c>
      <c r="L182" s="2" t="str">
        <f>HYPERLINK("https://www.nba.com/game/...-vs-...-0022301064/play-by-play?watchFullGame=true", "LAC vs ORL - Q1 06:18.00")</f>
        <v>LAC vs ORL - Q1 06:18.00</v>
      </c>
      <c r="M182">
        <v>2.77</v>
      </c>
      <c r="N182">
        <v>7.18</v>
      </c>
      <c r="O182">
        <v>54.66</v>
      </c>
      <c r="P182">
        <v>-23</v>
      </c>
      <c r="Q182">
        <v>15</v>
      </c>
      <c r="R182">
        <v>7</v>
      </c>
      <c r="S182">
        <v>54</v>
      </c>
      <c r="T182" t="s">
        <v>73</v>
      </c>
    </row>
    <row r="183" spans="1:20" x14ac:dyDescent="0.25">
      <c r="A183">
        <v>22300179</v>
      </c>
      <c r="B183" t="s">
        <v>4</v>
      </c>
      <c r="C183" t="s">
        <v>64</v>
      </c>
      <c r="D183">
        <v>7</v>
      </c>
      <c r="E183">
        <v>7</v>
      </c>
      <c r="F183">
        <v>0</v>
      </c>
      <c r="G183">
        <v>1</v>
      </c>
      <c r="H183" s="1">
        <v>5.8333333333333336E-3</v>
      </c>
      <c r="I183">
        <v>2023</v>
      </c>
      <c r="J183" t="s">
        <v>59</v>
      </c>
      <c r="K183" s="2" t="str">
        <f>HYPERLINK("https://www.nba.com/stats/events?CFID=&amp;CFPARAMS=&amp;GameEventID=39&amp;GameID=0022300179&amp;Season=2023-24&amp;flag=1&amp;title=R.%20Westbrook%20driving%20Layup%20(5%20PTS)%20(K.%20Leonard%201%20AST)", "R. Westbrook driving Layup (5 PTS) (K. Leonard 1 AST)")</f>
        <v>R. Westbrook driving Layup (5 PTS) (K. Leonard 1 AST)</v>
      </c>
      <c r="L183" s="2" t="str">
        <f>HYPERLINK("https://www.nba.com/game/...-vs-...-0022300179/play-by-play?watchFullGame=true", "LAC vs MEM - Q1 08:24.00")</f>
        <v>LAC vs MEM - Q1 08:24.00</v>
      </c>
      <c r="M183">
        <v>4.33</v>
      </c>
      <c r="N183">
        <v>7.54</v>
      </c>
      <c r="O183">
        <v>42.16</v>
      </c>
      <c r="P183">
        <v>39</v>
      </c>
      <c r="Q183">
        <v>18</v>
      </c>
      <c r="R183">
        <v>7</v>
      </c>
      <c r="S183">
        <v>42</v>
      </c>
      <c r="T183" t="s">
        <v>73</v>
      </c>
    </row>
    <row r="184" spans="1:20" x14ac:dyDescent="0.25">
      <c r="A184">
        <v>22300458</v>
      </c>
      <c r="B184" t="s">
        <v>4</v>
      </c>
      <c r="C184" t="s">
        <v>64</v>
      </c>
      <c r="D184">
        <v>63</v>
      </c>
      <c r="E184">
        <v>58</v>
      </c>
      <c r="F184">
        <v>5</v>
      </c>
      <c r="G184">
        <v>3</v>
      </c>
      <c r="H184" s="1">
        <v>7.5694444444444446E-3</v>
      </c>
      <c r="I184">
        <v>2023</v>
      </c>
      <c r="J184" t="s">
        <v>59</v>
      </c>
      <c r="K184" s="2" t="str">
        <f>HYPERLINK("https://www.nba.com/stats/events?CFID=&amp;CFPARAMS=&amp;GameEventID=303&amp;GameID=0022300458&amp;Season=2023-24&amp;flag=1&amp;title=T.%20Mann%20running%20Layup%20(5%20PTS)%20(K.%20Leonard%203%20AST)", "T. Mann running Layup (5 PTS) (K. Leonard 3 AST)")</f>
        <v>T. Mann running Layup (5 PTS) (K. Leonard 3 AST)</v>
      </c>
      <c r="L184" s="2" t="str">
        <f>HYPERLINK("https://www.nba.com/game/...-vs-...-0022300458/play-by-play?watchFullGame=true", "LAC vs MIA - Q3 10:54.00")</f>
        <v>LAC vs MIA - Q3 10:54.00</v>
      </c>
      <c r="M184">
        <v>2.11</v>
      </c>
      <c r="N184">
        <v>7.8</v>
      </c>
      <c r="O184">
        <v>50.74</v>
      </c>
      <c r="P184">
        <v>-4</v>
      </c>
      <c r="Q184">
        <v>21</v>
      </c>
      <c r="R184">
        <v>7</v>
      </c>
      <c r="S184">
        <v>50</v>
      </c>
      <c r="T184" t="s">
        <v>73</v>
      </c>
    </row>
    <row r="185" spans="1:20" x14ac:dyDescent="0.25">
      <c r="A185">
        <v>21900115</v>
      </c>
      <c r="B185" t="s">
        <v>4</v>
      </c>
      <c r="C185" t="s">
        <v>63</v>
      </c>
      <c r="D185">
        <v>34</v>
      </c>
      <c r="E185">
        <v>27</v>
      </c>
      <c r="F185">
        <v>7</v>
      </c>
      <c r="G185">
        <v>2</v>
      </c>
      <c r="H185" s="1">
        <v>5.4861111111111109E-3</v>
      </c>
      <c r="I185">
        <v>2019</v>
      </c>
      <c r="J185" t="s">
        <v>59</v>
      </c>
      <c r="K185" s="2" t="str">
        <f>HYPERLINK("https://www.nba.com/stats/events?CFID=&amp;CFPARAMS=&amp;GameEventID=223&amp;GameID=0021900115&amp;Season=2019-20&amp;flag=1&amp;title=[LAC]%20Harrell%20dunk:%20Made%20(5%20PTS)%20assist:%20Leonard%20(3%20AST)", "[LAC] Harrell dunk: Made (5 PTS) assist: Leonard (3 AST)")</f>
        <v>[LAC] Harrell dunk: Made (5 PTS) assist: Leonard (3 AST)</v>
      </c>
      <c r="L185" s="2" t="str">
        <f>HYPERLINK("https://www.nba.com/game/...-vs-...-0021900115/play-by-play?watchFullGame=true", "LAC vs POR - Q2 07:54.00")</f>
        <v>LAC vs POR - Q2 07:54.00</v>
      </c>
      <c r="M185">
        <v>2.0699999999999998</v>
      </c>
      <c r="N185">
        <v>7.15</v>
      </c>
      <c r="O185">
        <v>50.91</v>
      </c>
      <c r="P185">
        <v>-5</v>
      </c>
      <c r="Q185">
        <v>15</v>
      </c>
      <c r="R185">
        <v>7</v>
      </c>
      <c r="S185">
        <v>50</v>
      </c>
      <c r="T185" t="s">
        <v>73</v>
      </c>
    </row>
    <row r="186" spans="1:20" x14ac:dyDescent="0.25">
      <c r="A186">
        <v>21900419</v>
      </c>
      <c r="B186" t="s">
        <v>4</v>
      </c>
      <c r="C186" t="s">
        <v>63</v>
      </c>
      <c r="D186">
        <v>71</v>
      </c>
      <c r="E186">
        <v>56</v>
      </c>
      <c r="F186">
        <v>15</v>
      </c>
      <c r="G186">
        <v>3</v>
      </c>
      <c r="H186" s="1">
        <v>7.6967592592592591E-3</v>
      </c>
      <c r="I186">
        <v>2019</v>
      </c>
      <c r="J186" t="s">
        <v>59</v>
      </c>
      <c r="K186" s="2" t="str">
        <f>HYPERLINK("https://www.nba.com/stats/events?CFID=&amp;CFPARAMS=&amp;GameEventID=330&amp;GameID=0021900419&amp;Season=2019-20&amp;flag=1&amp;title=I.%20Zubac%20dunk%20(3%20PTS)%20(K.%20Leonard%201%20AST)", "I. Zubac dunk (3 PTS) (K. Leonard 1 AST)")</f>
        <v>I. Zubac dunk (3 PTS) (K. Leonard 1 AST)</v>
      </c>
      <c r="L186" s="2" t="str">
        <f>HYPERLINK("https://www.nba.com/game/...-vs-...-0021900419/play-by-play?watchFullGame=true", "LAC vs HOU - Q3 11:05.00")</f>
        <v>LAC vs HOU - Q3 11:05.00</v>
      </c>
      <c r="M186">
        <v>2.48</v>
      </c>
      <c r="N186">
        <v>7.41</v>
      </c>
      <c r="O186">
        <v>47.97</v>
      </c>
      <c r="P186">
        <v>10</v>
      </c>
      <c r="Q186">
        <v>17</v>
      </c>
      <c r="R186">
        <v>7</v>
      </c>
      <c r="S186">
        <v>47</v>
      </c>
      <c r="T186" t="s">
        <v>73</v>
      </c>
    </row>
    <row r="187" spans="1:20" x14ac:dyDescent="0.25">
      <c r="A187">
        <v>41900151</v>
      </c>
      <c r="B187" t="s">
        <v>4</v>
      </c>
      <c r="C187" t="s">
        <v>61</v>
      </c>
      <c r="D187">
        <v>101</v>
      </c>
      <c r="E187">
        <v>98</v>
      </c>
      <c r="F187">
        <v>3</v>
      </c>
      <c r="G187">
        <v>4</v>
      </c>
      <c r="H187" s="1">
        <v>3.6458333333333334E-3</v>
      </c>
      <c r="I187" t="s">
        <v>68</v>
      </c>
      <c r="J187" t="s">
        <v>59</v>
      </c>
      <c r="K187" s="2" t="str">
        <f>HYPERLINK("https://www.nba.com/stats/events?CFID=&amp;CFPARAMS=&amp;GameEventID=611&amp;GameID=0041900151&amp;Season=2019-20&amp;flag=1&amp;title=P.%20Beverley%20jumpshot%20(5%20PTS)%20(K.%20Leonard%205%20AST)", "P. Beverley jumpshot (5 PTS) (K. Leonard 5 AST)")</f>
        <v>P. Beverley jumpshot (5 PTS) (K. Leonard 5 AST)</v>
      </c>
      <c r="L187" s="2" t="str">
        <f>HYPERLINK("https://www.nba.com/game/...-vs-...-0041900151/play-by-play?watchFullGame=true", "LAC vs DAL - Q4 05:15.00")</f>
        <v>LAC vs DAL - Q4 05:15.00</v>
      </c>
      <c r="M187">
        <v>3.83</v>
      </c>
      <c r="N187">
        <v>7.31</v>
      </c>
      <c r="O187">
        <v>43.7</v>
      </c>
      <c r="P187">
        <v>32</v>
      </c>
      <c r="Q187">
        <v>16</v>
      </c>
      <c r="R187">
        <v>7</v>
      </c>
      <c r="S187">
        <v>43</v>
      </c>
      <c r="T187" t="s">
        <v>73</v>
      </c>
    </row>
    <row r="188" spans="1:20" x14ac:dyDescent="0.25">
      <c r="A188">
        <v>22300897</v>
      </c>
      <c r="B188" t="s">
        <v>10</v>
      </c>
      <c r="C188" t="s">
        <v>9</v>
      </c>
      <c r="D188">
        <v>66</v>
      </c>
      <c r="E188">
        <v>74</v>
      </c>
      <c r="F188">
        <v>8</v>
      </c>
      <c r="G188">
        <v>3</v>
      </c>
      <c r="H188" s="1">
        <v>3.449074074074074E-3</v>
      </c>
      <c r="I188">
        <v>2023</v>
      </c>
      <c r="J188" t="s">
        <v>59</v>
      </c>
      <c r="K188" s="2" t="str">
        <f>HYPERLINK("https://www.nba.com/stats/events?CFID=&amp;CFPARAMS=&amp;GameEventID=377&amp;GameID=0022300897&amp;Season=2023-24&amp;flag=1&amp;title=P.%20George%203PT%20%20(12%20PTS)%20(K.%20Leonard%204%20AST)", "P. George 3PT  (12 PTS) (K. Leonard 4 AST)")</f>
        <v>P. George 3PT  (12 PTS) (K. Leonard 4 AST)</v>
      </c>
      <c r="L188" s="2" t="str">
        <f>HYPERLINK("https://www.nba.com/game/...-vs-...-0022300897/play-by-play?watchFullGame=true", "LAC vs HOU - Q3 04:58.00")</f>
        <v>LAC vs HOU - Q3 04:58.00</v>
      </c>
      <c r="M188">
        <v>23.24</v>
      </c>
      <c r="N188">
        <v>7.57</v>
      </c>
      <c r="O188">
        <v>3.68</v>
      </c>
      <c r="P188">
        <v>232</v>
      </c>
      <c r="Q188">
        <v>19</v>
      </c>
      <c r="R188">
        <v>7</v>
      </c>
      <c r="S188">
        <v>3</v>
      </c>
      <c r="T188" t="s">
        <v>73</v>
      </c>
    </row>
    <row r="189" spans="1:20" x14ac:dyDescent="0.25">
      <c r="A189">
        <v>21901291</v>
      </c>
      <c r="B189" t="s">
        <v>10</v>
      </c>
      <c r="C189" t="s">
        <v>61</v>
      </c>
      <c r="D189">
        <v>77</v>
      </c>
      <c r="E189">
        <v>77</v>
      </c>
      <c r="F189">
        <v>0</v>
      </c>
      <c r="G189">
        <v>3</v>
      </c>
      <c r="H189" s="1">
        <v>6.3657407407407404E-3</v>
      </c>
      <c r="I189">
        <v>2019</v>
      </c>
      <c r="J189" t="s">
        <v>59</v>
      </c>
      <c r="K189" s="2" t="str">
        <f>HYPERLINK("https://www.nba.com/stats/events?CFID=&amp;CFPARAMS=&amp;GameEventID=366&amp;GameID=0021901291&amp;Season=2019-20&amp;flag=1&amp;title=R.%20Jackson%2023'%203PT%20%20(5%20PTS)%20(K.%20Leonard%203%20AST)", "R. Jackson 23' 3PT  (5 PTS) (K. Leonard 3 AST)")</f>
        <v>R. Jackson 23' 3PT  (5 PTS) (K. Leonard 3 AST)</v>
      </c>
      <c r="L189" s="2" t="str">
        <f>HYPERLINK("https://www.nba.com/game/...-vs-...-0021901291/play-by-play?watchFullGame=true", "LAC vs BKN - Q3 09:10.00")</f>
        <v>LAC vs BKN - Q3 09:10.00</v>
      </c>
      <c r="M189">
        <v>23.28</v>
      </c>
      <c r="N189">
        <v>7.84</v>
      </c>
      <c r="O189">
        <v>3.75</v>
      </c>
      <c r="P189">
        <v>231</v>
      </c>
      <c r="Q189">
        <v>21</v>
      </c>
      <c r="R189">
        <v>7</v>
      </c>
      <c r="S189">
        <v>3</v>
      </c>
      <c r="T189" t="s">
        <v>73</v>
      </c>
    </row>
    <row r="190" spans="1:20" x14ac:dyDescent="0.25">
      <c r="A190">
        <v>41900156</v>
      </c>
      <c r="B190" t="s">
        <v>4</v>
      </c>
      <c r="C190" t="s">
        <v>63</v>
      </c>
      <c r="D190">
        <v>50</v>
      </c>
      <c r="E190">
        <v>47</v>
      </c>
      <c r="F190">
        <v>3</v>
      </c>
      <c r="G190">
        <v>2</v>
      </c>
      <c r="H190" s="1">
        <v>3.1134259259259257E-3</v>
      </c>
      <c r="I190" t="s">
        <v>68</v>
      </c>
      <c r="J190" t="s">
        <v>59</v>
      </c>
      <c r="K190" s="2" t="str">
        <f>HYPERLINK("https://www.nba.com/stats/events?CFID=&amp;CFPARAMS=&amp;GameEventID=260&amp;GameID=0041900156&amp;Season=2019-20&amp;flag=1&amp;title=J.%20Green%20dunk%20(7%20PTS)%20(K.%20Leonard%204%20AST)", "J. Green dunk (7 PTS) (K. Leonard 4 AST)")</f>
        <v>J. Green dunk (7 PTS) (K. Leonard 4 AST)</v>
      </c>
      <c r="L190" s="2" t="str">
        <f>HYPERLINK("https://www.nba.com/game/...-vs-...-0041900156/play-by-play?watchFullGame=true", "LAC vs DAL - Q2 04:29.00")</f>
        <v>LAC vs DAL - Q2 04:29.00</v>
      </c>
      <c r="M190">
        <v>2.5099999999999998</v>
      </c>
      <c r="N190">
        <v>7.31</v>
      </c>
      <c r="O190">
        <v>52.52</v>
      </c>
      <c r="P190">
        <v>-13</v>
      </c>
      <c r="Q190">
        <v>16</v>
      </c>
      <c r="R190">
        <v>7</v>
      </c>
      <c r="S190">
        <v>52</v>
      </c>
      <c r="T190" t="s">
        <v>73</v>
      </c>
    </row>
    <row r="191" spans="1:20" x14ac:dyDescent="0.25">
      <c r="A191">
        <v>42000223</v>
      </c>
      <c r="B191" t="s">
        <v>4</v>
      </c>
      <c r="C191" t="s">
        <v>64</v>
      </c>
      <c r="D191">
        <v>44</v>
      </c>
      <c r="E191">
        <v>36</v>
      </c>
      <c r="F191">
        <v>8</v>
      </c>
      <c r="G191">
        <v>2</v>
      </c>
      <c r="H191" s="1">
        <v>4.6180555555555558E-3</v>
      </c>
      <c r="I191" t="s">
        <v>71</v>
      </c>
      <c r="J191" t="s">
        <v>59</v>
      </c>
      <c r="K191" s="2" t="str">
        <f>HYPERLINK("https://www.nba.com/stats/events?CFID=&amp;CFPARAMS=&amp;GameEventID=209&amp;GameID=0042000223&amp;Season=2020-21&amp;flag=1&amp;title=T.%20Mann%20cutting%20Layup%20(2%20PTS)%20(K.%20Leonard%201%20AST)", "T. Mann cutting Layup (2 PTS) (K. Leonard 1 AST)")</f>
        <v>T. Mann cutting Layup (2 PTS) (K. Leonard 1 AST)</v>
      </c>
      <c r="L191" s="2" t="str">
        <f>HYPERLINK("https://www.nba.com/game/...-vs-...-0042000223/play-by-play?watchFullGame=true", "LAC vs UTA - Q2 06:39.00")</f>
        <v>LAC vs UTA - Q2 06:39.00</v>
      </c>
      <c r="M191">
        <v>1.91</v>
      </c>
      <c r="N191">
        <v>7.54</v>
      </c>
      <c r="O191">
        <v>48.95</v>
      </c>
      <c r="P191">
        <v>7</v>
      </c>
      <c r="Q191">
        <v>48</v>
      </c>
      <c r="R191">
        <v>7</v>
      </c>
      <c r="S191">
        <v>48</v>
      </c>
      <c r="T191" t="s">
        <v>73</v>
      </c>
    </row>
    <row r="192" spans="1:20" x14ac:dyDescent="0.25">
      <c r="A192">
        <v>22200795</v>
      </c>
      <c r="B192" t="s">
        <v>4</v>
      </c>
      <c r="C192" t="s">
        <v>9</v>
      </c>
      <c r="D192">
        <v>117</v>
      </c>
      <c r="E192">
        <v>115</v>
      </c>
      <c r="F192">
        <v>2</v>
      </c>
      <c r="G192">
        <v>5</v>
      </c>
      <c r="H192" s="1">
        <v>2.685185185185185E-3</v>
      </c>
      <c r="I192">
        <v>2022</v>
      </c>
      <c r="J192" t="s">
        <v>59</v>
      </c>
      <c r="K192" s="2" t="str">
        <f>HYPERLINK("https://www.nba.com/stats/events?CFID=&amp;CFPARAMS=&amp;GameEventID=624&amp;GameID=0022200795&amp;Season=2022-23&amp;flag=1&amp;title=M.%20Morris%20Sr.%2011'%20Jump%20Shot%20(16%20PTS)%20(K.%20Leonard%203%20AST)", "M. Morris Sr. 11' Jump Shot (16 PTS) (K. Leonard 3 AST)")</f>
        <v>M. Morris Sr. 11' Jump Shot (16 PTS) (K. Leonard 3 AST)</v>
      </c>
      <c r="L192" s="2" t="str">
        <f>HYPERLINK("https://www.nba.com/game/...-vs-...-0022200795/play-by-play?watchFullGame=true", "LAC vs NYK - Q5 03:52.00")</f>
        <v>LAC vs NYK - Q5 03:52.00</v>
      </c>
      <c r="M192">
        <v>11.81</v>
      </c>
      <c r="N192">
        <v>7.7</v>
      </c>
      <c r="O192">
        <v>73.28</v>
      </c>
      <c r="P192">
        <v>-116</v>
      </c>
      <c r="Q192">
        <v>20</v>
      </c>
      <c r="R192">
        <v>7</v>
      </c>
      <c r="S192">
        <v>73</v>
      </c>
      <c r="T192" t="s">
        <v>73</v>
      </c>
    </row>
    <row r="193" spans="1:20" x14ac:dyDescent="0.25">
      <c r="A193">
        <v>22000224</v>
      </c>
      <c r="B193" t="s">
        <v>10</v>
      </c>
      <c r="C193" t="s">
        <v>9</v>
      </c>
      <c r="D193">
        <v>92</v>
      </c>
      <c r="E193">
        <v>73</v>
      </c>
      <c r="F193">
        <v>19</v>
      </c>
      <c r="G193">
        <v>3</v>
      </c>
      <c r="H193" s="1">
        <v>8.564814814814815E-4</v>
      </c>
      <c r="I193">
        <v>2020</v>
      </c>
      <c r="J193" t="s">
        <v>59</v>
      </c>
      <c r="K193" s="2" t="str">
        <f>HYPERLINK("https://www.nba.com/stats/events?CFID=&amp;CFPARAMS=&amp;GameEventID=448&amp;GameID=0022000224&amp;Season=2020-21&amp;flag=1&amp;title=L.%20Williams%203PT%20%20(3%20PTS)%20(K.%20Leonard%204%20AST)", "L. Williams 3PT  (3 PTS) (K. Leonard 4 AST)")</f>
        <v>L. Williams 3PT  (3 PTS) (K. Leonard 4 AST)</v>
      </c>
      <c r="L193" s="2" t="str">
        <f>HYPERLINK("https://www.nba.com/game/...-vs-...-0022000224/play-by-play?watchFullGame=true", "LAC vs SAC - Q3 01:14.00")</f>
        <v>LAC vs SAC - Q3 01:14.00</v>
      </c>
      <c r="M193">
        <v>22.5</v>
      </c>
      <c r="N193">
        <v>7.97</v>
      </c>
      <c r="O193">
        <v>5.22</v>
      </c>
      <c r="P193">
        <v>224</v>
      </c>
      <c r="Q193">
        <v>22</v>
      </c>
      <c r="R193">
        <v>7</v>
      </c>
      <c r="S193">
        <v>5</v>
      </c>
      <c r="T193" t="s">
        <v>73</v>
      </c>
    </row>
    <row r="194" spans="1:20" x14ac:dyDescent="0.25">
      <c r="A194">
        <v>22000867</v>
      </c>
      <c r="B194" t="s">
        <v>10</v>
      </c>
      <c r="C194" t="s">
        <v>9</v>
      </c>
      <c r="D194">
        <v>92</v>
      </c>
      <c r="E194">
        <v>61</v>
      </c>
      <c r="F194">
        <v>31</v>
      </c>
      <c r="G194">
        <v>3</v>
      </c>
      <c r="H194" s="1">
        <v>4.5833333333333334E-3</v>
      </c>
      <c r="I194">
        <v>2020</v>
      </c>
      <c r="J194" t="s">
        <v>59</v>
      </c>
      <c r="K194" s="2" t="str">
        <f>HYPERLINK("https://www.nba.com/stats/events?CFID=&amp;CFPARAMS=&amp;GameEventID=412&amp;GameID=0022000867&amp;Season=2020-21&amp;flag=1&amp;title=M.%20Morris%20Sr.%203PT%20%20(14%20PTS)%20(K.%20Leonard%208%20AST)", "M. Morris Sr. 3PT  (14 PTS) (K. Leonard 8 AST)")</f>
        <v>M. Morris Sr. 3PT  (14 PTS) (K. Leonard 8 AST)</v>
      </c>
      <c r="L194" s="2" t="str">
        <f>HYPERLINK("https://www.nba.com/game/...-vs-...-0022000867/play-by-play?watchFullGame=true", "LAC vs MIN - Q3 06:36.00")</f>
        <v>LAC vs MIN - Q3 06:36.00</v>
      </c>
      <c r="M194">
        <v>22.92</v>
      </c>
      <c r="N194">
        <v>7.7</v>
      </c>
      <c r="O194">
        <v>95.66</v>
      </c>
      <c r="P194">
        <v>-228</v>
      </c>
      <c r="Q194">
        <v>20</v>
      </c>
      <c r="R194">
        <v>7</v>
      </c>
      <c r="S194">
        <v>95</v>
      </c>
      <c r="T194" t="s">
        <v>73</v>
      </c>
    </row>
    <row r="195" spans="1:20" x14ac:dyDescent="0.25">
      <c r="A195">
        <v>22200016</v>
      </c>
      <c r="B195" t="s">
        <v>4</v>
      </c>
      <c r="C195" t="s">
        <v>65</v>
      </c>
      <c r="D195">
        <v>69</v>
      </c>
      <c r="E195">
        <v>65</v>
      </c>
      <c r="F195">
        <v>4</v>
      </c>
      <c r="G195">
        <v>3</v>
      </c>
      <c r="H195" s="1">
        <v>4.2245370370370371E-3</v>
      </c>
      <c r="I195">
        <v>2022</v>
      </c>
      <c r="J195" t="s">
        <v>59</v>
      </c>
      <c r="K195" s="2" t="str">
        <f>HYPERLINK("https://www.nba.com/stats/events?CFID=&amp;CFPARAMS=&amp;GameEventID=431&amp;GameID=0022200016&amp;Season=2022-23&amp;flag=1&amp;title=I.%20Zubac%20alley-oop%20DUNK%20(12%20PTS)%20(K.%20Leonard%201%20AST)", "I. Zubac alley-oop DUNK (12 PTS) (K. Leonard 1 AST)")</f>
        <v>I. Zubac alley-oop DUNK (12 PTS) (K. Leonard 1 AST)</v>
      </c>
      <c r="L195" s="2" t="str">
        <f>HYPERLINK("https://www.nba.com/game/...-vs-...-0022200016/play-by-play?watchFullGame=true", "LAC vs LAL - Q3 06:05.00")</f>
        <v>LAC vs LAL - Q3 06:05.00</v>
      </c>
      <c r="M195">
        <v>1.47</v>
      </c>
      <c r="N195">
        <v>7.01</v>
      </c>
      <c r="O195">
        <v>51.23</v>
      </c>
      <c r="P195">
        <v>-6</v>
      </c>
      <c r="Q195">
        <v>13</v>
      </c>
      <c r="R195">
        <v>7</v>
      </c>
      <c r="S195">
        <v>51</v>
      </c>
      <c r="T195" t="s">
        <v>73</v>
      </c>
    </row>
    <row r="196" spans="1:20" x14ac:dyDescent="0.25">
      <c r="A196">
        <v>22301225</v>
      </c>
      <c r="B196" t="s">
        <v>4</v>
      </c>
      <c r="C196" t="s">
        <v>65</v>
      </c>
      <c r="D196">
        <v>71</v>
      </c>
      <c r="E196">
        <v>58</v>
      </c>
      <c r="F196">
        <v>13</v>
      </c>
      <c r="G196">
        <v>3</v>
      </c>
      <c r="H196" s="1">
        <v>5.0000000000000001E-3</v>
      </c>
      <c r="I196">
        <v>2023</v>
      </c>
      <c r="J196" t="s">
        <v>59</v>
      </c>
      <c r="K196" s="2" t="str">
        <f>HYPERLINK("https://www.nba.com/stats/events?CFID=&amp;CFPARAMS=&amp;GameEventID=392&amp;GameID=0022301225&amp;Season=2023-24&amp;flag=1&amp;title=T.%20Mann%20running%20DUNK%20(10%20PTS)%20(K.%20Leonard%204%20AST)", "T. Mann running DUNK (10 PTS) (K. Leonard 4 AST)")</f>
        <v>T. Mann running DUNK (10 PTS) (K. Leonard 4 AST)</v>
      </c>
      <c r="L196" s="2" t="str">
        <f>HYPERLINK("https://www.nba.com/game/...-vs-...-0022301225/play-by-play?watchFullGame=true", "LAC vs UTA - Q3 07:12.00")</f>
        <v>LAC vs UTA - Q3 07:12.00</v>
      </c>
      <c r="M196">
        <v>2.06</v>
      </c>
      <c r="N196">
        <v>7.44</v>
      </c>
      <c r="O196">
        <v>47.79</v>
      </c>
      <c r="P196">
        <v>11</v>
      </c>
      <c r="Q196">
        <v>17</v>
      </c>
      <c r="R196">
        <v>7</v>
      </c>
      <c r="S196">
        <v>47</v>
      </c>
      <c r="T196" t="s">
        <v>73</v>
      </c>
    </row>
    <row r="197" spans="1:20" x14ac:dyDescent="0.25">
      <c r="A197">
        <v>41900231</v>
      </c>
      <c r="B197" t="s">
        <v>10</v>
      </c>
      <c r="C197" t="s">
        <v>61</v>
      </c>
      <c r="D197">
        <v>81</v>
      </c>
      <c r="E197">
        <v>62</v>
      </c>
      <c r="F197">
        <v>19</v>
      </c>
      <c r="G197">
        <v>3</v>
      </c>
      <c r="H197" s="1">
        <v>4.9421296296296297E-3</v>
      </c>
      <c r="I197" t="s">
        <v>62</v>
      </c>
      <c r="J197" t="s">
        <v>59</v>
      </c>
      <c r="K197" s="2" t="str">
        <f>HYPERLINK("https://www.nba.com/stats/events?CFID=&amp;CFPARAMS=&amp;GameEventID=382&amp;GameID=0041900231&amp;Season=2019-20&amp;flag=1&amp;title=M.%20Morris%20Sr.%2023'%203PT%20%20(16%20PTS)%20(K.%20Leonard%203%20AST)", "M. Morris Sr. 23' 3PT  (16 PTS) (K. Leonard 3 AST)")</f>
        <v>M. Morris Sr. 23' 3PT  (16 PTS) (K. Leonard 3 AST)</v>
      </c>
      <c r="L197" s="2" t="str">
        <f>HYPERLINK("https://www.nba.com/game/...-vs-...-0041900231/play-by-play?watchFullGame=true", "LAC vs DEN - Q3 07:07.00")</f>
        <v>LAC vs DEN - Q3 07:07.00</v>
      </c>
      <c r="M197">
        <v>22.72</v>
      </c>
      <c r="N197">
        <v>7.7</v>
      </c>
      <c r="O197">
        <v>95.17</v>
      </c>
      <c r="P197">
        <v>-226</v>
      </c>
      <c r="Q197">
        <v>20</v>
      </c>
      <c r="R197">
        <v>7</v>
      </c>
      <c r="S197">
        <v>95</v>
      </c>
      <c r="T197" t="s">
        <v>73</v>
      </c>
    </row>
    <row r="198" spans="1:20" x14ac:dyDescent="0.25">
      <c r="A198">
        <v>42200171</v>
      </c>
      <c r="B198" t="s">
        <v>4</v>
      </c>
      <c r="C198" t="s">
        <v>64</v>
      </c>
      <c r="D198">
        <v>70</v>
      </c>
      <c r="E198">
        <v>77</v>
      </c>
      <c r="F198">
        <v>7</v>
      </c>
      <c r="G198">
        <v>3</v>
      </c>
      <c r="H198" s="1">
        <v>3.0555555555555557E-3</v>
      </c>
      <c r="I198" t="s">
        <v>67</v>
      </c>
      <c r="J198" t="s">
        <v>59</v>
      </c>
      <c r="K198" s="2" t="str">
        <f>HYPERLINK("https://www.nba.com/stats/events?CFID=&amp;CFPARAMS=&amp;GameEventID=428&amp;GameID=0042200171&amp;Season=2022-23&amp;flag=1&amp;title=R.%20Westbrook%20Layup%20(7%20PTS)%20(K.%20Leonard%203%20AST)", "R. Westbrook Layup (7 PTS) (K. Leonard 3 AST)")</f>
        <v>R. Westbrook Layup (7 PTS) (K. Leonard 3 AST)</v>
      </c>
      <c r="L198" s="2" t="str">
        <f>HYPERLINK("https://www.nba.com/game/...-vs-...-0042200171/play-by-play?watchFullGame=true", "LAC vs PHX - Q3 04:24.00")</f>
        <v>LAC vs PHX - Q3 04:24.00</v>
      </c>
      <c r="M198">
        <v>3.25</v>
      </c>
      <c r="N198">
        <v>7.31</v>
      </c>
      <c r="O198">
        <v>55.64</v>
      </c>
      <c r="P198">
        <v>7</v>
      </c>
      <c r="Q198">
        <v>55</v>
      </c>
      <c r="R198">
        <v>7</v>
      </c>
      <c r="S198">
        <v>55</v>
      </c>
      <c r="T198" t="s">
        <v>73</v>
      </c>
    </row>
    <row r="199" spans="1:20" x14ac:dyDescent="0.25">
      <c r="A199">
        <v>21900419</v>
      </c>
      <c r="B199" t="s">
        <v>4</v>
      </c>
      <c r="C199" t="s">
        <v>69</v>
      </c>
      <c r="D199">
        <v>79</v>
      </c>
      <c r="E199">
        <v>69</v>
      </c>
      <c r="F199">
        <v>10</v>
      </c>
      <c r="G199">
        <v>3</v>
      </c>
      <c r="H199" s="1">
        <v>4.6874999999999998E-3</v>
      </c>
      <c r="I199">
        <v>2019</v>
      </c>
      <c r="J199" t="s">
        <v>59</v>
      </c>
      <c r="K199" s="2" t="str">
        <f>HYPERLINK("https://www.nba.com/stats/events?CFID=&amp;CFPARAMS=&amp;GameEventID=380&amp;GameID=0021900419&amp;Season=2019-20&amp;flag=1&amp;title=P.%20Beverley%20layup%20(7%20PTS)%20(K.%20Leonard%202%20AST)", "P. Beverley layup (7 PTS) (K. Leonard 2 AST)")</f>
        <v>P. Beverley layup (7 PTS) (K. Leonard 2 AST)</v>
      </c>
      <c r="L199" s="2" t="str">
        <f>HYPERLINK("https://www.nba.com/game/...-vs-...-0021900419/play-by-play?watchFullGame=true", "LAC vs HOU - Q3 06:45.00")</f>
        <v>LAC vs HOU - Q3 06:45.00</v>
      </c>
      <c r="M199">
        <v>2.61</v>
      </c>
      <c r="N199">
        <v>7.41</v>
      </c>
      <c r="O199">
        <v>52.63</v>
      </c>
      <c r="P199">
        <v>-13</v>
      </c>
      <c r="Q199">
        <v>17</v>
      </c>
      <c r="R199">
        <v>7</v>
      </c>
      <c r="S199">
        <v>52</v>
      </c>
      <c r="T199" t="s">
        <v>73</v>
      </c>
    </row>
    <row r="200" spans="1:20" x14ac:dyDescent="0.25">
      <c r="A200">
        <v>21901307</v>
      </c>
      <c r="B200" t="s">
        <v>4</v>
      </c>
      <c r="C200" t="s">
        <v>69</v>
      </c>
      <c r="D200">
        <v>15</v>
      </c>
      <c r="E200">
        <v>16</v>
      </c>
      <c r="F200">
        <v>1</v>
      </c>
      <c r="G200">
        <v>1</v>
      </c>
      <c r="H200" s="1">
        <v>2.673611111111111E-3</v>
      </c>
      <c r="I200">
        <v>2019</v>
      </c>
      <c r="J200" t="s">
        <v>59</v>
      </c>
      <c r="K200" s="2" t="str">
        <f>HYPERLINK("https://www.nba.com/stats/events?CFID=&amp;CFPARAMS=&amp;GameEventID=95&amp;GameID=0021901307&amp;Season=2019-20&amp;flag=1&amp;title=I.%20Zubac%20layup%20(4%20PTS)%20(K.%20Leonard%202%20AST)", "I. Zubac layup (4 PTS) (K. Leonard 2 AST)")</f>
        <v>I. Zubac layup (4 PTS) (K. Leonard 2 AST)</v>
      </c>
      <c r="L200" s="2" t="str">
        <f>HYPERLINK("https://www.nba.com/game/...-vs-...-0021901307/play-by-play?watchFullGame=true", "LAC vs DEN - Q1 03:51.00")</f>
        <v>LAC vs DEN - Q1 03:51.00</v>
      </c>
      <c r="M200">
        <v>2.1</v>
      </c>
      <c r="N200">
        <v>7.18</v>
      </c>
      <c r="O200">
        <v>49.09</v>
      </c>
      <c r="P200">
        <v>5</v>
      </c>
      <c r="Q200">
        <v>15</v>
      </c>
      <c r="R200">
        <v>7</v>
      </c>
      <c r="S200">
        <v>49</v>
      </c>
      <c r="T200" t="s">
        <v>73</v>
      </c>
    </row>
    <row r="201" spans="1:20" x14ac:dyDescent="0.25">
      <c r="A201">
        <v>22000202</v>
      </c>
      <c r="B201" t="s">
        <v>4</v>
      </c>
      <c r="C201" t="s">
        <v>64</v>
      </c>
      <c r="D201">
        <v>88</v>
      </c>
      <c r="E201">
        <v>70</v>
      </c>
      <c r="F201">
        <v>18</v>
      </c>
      <c r="G201">
        <v>3</v>
      </c>
      <c r="H201" s="1">
        <v>2.3495370370370371E-3</v>
      </c>
      <c r="I201">
        <v>2020</v>
      </c>
      <c r="J201" t="s">
        <v>59</v>
      </c>
      <c r="K201" s="2" t="str">
        <f>HYPERLINK("https://www.nba.com/stats/events?CFID=&amp;CFPARAMS=&amp;GameEventID=401&amp;GameID=0022000202&amp;Season=2020-21&amp;flag=1&amp;title=P.%20Beverley%20Layup%20(11%20PTS)%20(K.%20Leonard%203%20AST)", "P. Beverley Layup (11 PTS) (K. Leonard 3 AST)")</f>
        <v>P. Beverley Layup (11 PTS) (K. Leonard 3 AST)</v>
      </c>
      <c r="L201" s="2" t="str">
        <f>HYPERLINK("https://www.nba.com/game/...-vs-...-0022000202/play-by-play?watchFullGame=true", "LAC vs IND - Q3 03:23.00")</f>
        <v>LAC vs IND - Q3 03:23.00</v>
      </c>
      <c r="M201">
        <v>2.2599999999999998</v>
      </c>
      <c r="N201">
        <v>7.44</v>
      </c>
      <c r="O201">
        <v>47.13</v>
      </c>
      <c r="P201">
        <v>14</v>
      </c>
      <c r="Q201">
        <v>17</v>
      </c>
      <c r="R201">
        <v>7</v>
      </c>
      <c r="S201">
        <v>47</v>
      </c>
      <c r="T201" t="s">
        <v>73</v>
      </c>
    </row>
    <row r="202" spans="1:20" x14ac:dyDescent="0.25">
      <c r="A202">
        <v>22300085</v>
      </c>
      <c r="B202" t="s">
        <v>4</v>
      </c>
      <c r="C202" t="s">
        <v>64</v>
      </c>
      <c r="D202">
        <v>106</v>
      </c>
      <c r="E202">
        <v>103</v>
      </c>
      <c r="F202">
        <v>3</v>
      </c>
      <c r="G202">
        <v>4</v>
      </c>
      <c r="H202" s="1">
        <v>3.472222222222222E-3</v>
      </c>
      <c r="I202">
        <v>2023</v>
      </c>
      <c r="J202" t="s">
        <v>59</v>
      </c>
      <c r="K202" s="2" t="str">
        <f>HYPERLINK("https://www.nba.com/stats/events?CFID=&amp;CFPARAMS=&amp;GameEventID=594&amp;GameID=0022300085&amp;Season=2023-24&amp;flag=1&amp;title=N.%20Powell%20Layup%20(18%20PTS)%20(K.%20Leonard%205%20AST)", "N. Powell Layup (18 PTS) (K. Leonard 5 AST)")</f>
        <v>N. Powell Layup (18 PTS) (K. Leonard 5 AST)</v>
      </c>
      <c r="L202" s="2" t="str">
        <f>HYPERLINK("https://www.nba.com/game/...-vs-...-0022300085/play-by-play?watchFullGame=true", "LAC vs UTA - Q4 05:00.00")</f>
        <v>LAC vs UTA - Q4 05:00.00</v>
      </c>
      <c r="M202">
        <v>2.62</v>
      </c>
      <c r="N202">
        <v>7.57</v>
      </c>
      <c r="O202">
        <v>46.32</v>
      </c>
      <c r="P202">
        <v>18</v>
      </c>
      <c r="Q202">
        <v>19</v>
      </c>
      <c r="R202">
        <v>7</v>
      </c>
      <c r="S202">
        <v>46</v>
      </c>
      <c r="T202" t="s">
        <v>73</v>
      </c>
    </row>
    <row r="203" spans="1:20" x14ac:dyDescent="0.25">
      <c r="A203">
        <v>41900154</v>
      </c>
      <c r="B203" t="s">
        <v>4</v>
      </c>
      <c r="C203" t="s">
        <v>69</v>
      </c>
      <c r="D203">
        <v>66</v>
      </c>
      <c r="E203">
        <v>58</v>
      </c>
      <c r="F203">
        <v>8</v>
      </c>
      <c r="G203">
        <v>2</v>
      </c>
      <c r="H203" s="1">
        <v>6.3078703703703702E-4</v>
      </c>
      <c r="I203" t="s">
        <v>68</v>
      </c>
      <c r="J203" t="s">
        <v>59</v>
      </c>
      <c r="K203" s="2" t="str">
        <f>HYPERLINK("https://www.nba.com/stats/events?CFID=&amp;CFPARAMS=&amp;GameEventID=350&amp;GameID=0041900154&amp;Season=2019-20&amp;flag=1&amp;title=I.%20Zubac%20layup%20(13%20PTS)%20(K.%20Leonard%203%20AST)", "I. Zubac layup (13 PTS) (K. Leonard 3 AST)")</f>
        <v>I. Zubac layup (13 PTS) (K. Leonard 3 AST)</v>
      </c>
      <c r="L203" s="2" t="str">
        <f>HYPERLINK("https://www.nba.com/game/...-vs-...-0041900154/play-by-play?watchFullGame=true", "LAC vs DAL - Q2 00:54.50")</f>
        <v>LAC vs DAL - Q2 00:54.50</v>
      </c>
      <c r="M203">
        <v>3.83</v>
      </c>
      <c r="N203">
        <v>7.31</v>
      </c>
      <c r="O203">
        <v>43.7</v>
      </c>
      <c r="P203">
        <v>32</v>
      </c>
      <c r="Q203">
        <v>16</v>
      </c>
      <c r="R203">
        <v>7</v>
      </c>
      <c r="S203">
        <v>43</v>
      </c>
      <c r="T203" t="s">
        <v>73</v>
      </c>
    </row>
    <row r="204" spans="1:20" x14ac:dyDescent="0.25">
      <c r="A204">
        <v>22000130</v>
      </c>
      <c r="B204" t="s">
        <v>10</v>
      </c>
      <c r="C204" t="s">
        <v>9</v>
      </c>
      <c r="D204">
        <v>5</v>
      </c>
      <c r="E204">
        <v>3</v>
      </c>
      <c r="F204">
        <v>2</v>
      </c>
      <c r="G204">
        <v>1</v>
      </c>
      <c r="H204" s="1">
        <v>7.4537037037037037E-3</v>
      </c>
      <c r="I204">
        <v>2020</v>
      </c>
      <c r="J204" t="s">
        <v>59</v>
      </c>
      <c r="K204" s="2" t="str">
        <f>HYPERLINK("https://www.nba.com/stats/events?CFID=&amp;CFPARAMS=&amp;GameEventID=15&amp;GameID=0022000130&amp;Season=2020-21&amp;flag=1&amp;title=P.%20George%203PT%20%20(3%20PTS)%20(K.%20Leonard%201%20AST)", "P. George 3PT  (3 PTS) (K. Leonard 1 AST)")</f>
        <v>P. George 3PT  (3 PTS) (K. Leonard 1 AST)</v>
      </c>
      <c r="L204" s="2" t="str">
        <f>HYPERLINK("https://www.nba.com/game/...-vs-...-0022000130/play-by-play?watchFullGame=true", "LAC vs GSW - Q1 10:44.00")</f>
        <v>LAC vs GSW - Q1 10:44.00</v>
      </c>
      <c r="M204">
        <v>23.26</v>
      </c>
      <c r="N204">
        <v>8.23</v>
      </c>
      <c r="O204">
        <v>3.75</v>
      </c>
      <c r="P204">
        <v>231</v>
      </c>
      <c r="Q204">
        <v>25</v>
      </c>
      <c r="R204">
        <v>8</v>
      </c>
      <c r="S204">
        <v>3</v>
      </c>
      <c r="T204" t="s">
        <v>73</v>
      </c>
    </row>
    <row r="205" spans="1:20" x14ac:dyDescent="0.25">
      <c r="A205">
        <v>21900458</v>
      </c>
      <c r="B205" t="s">
        <v>4</v>
      </c>
      <c r="C205" t="s">
        <v>69</v>
      </c>
      <c r="D205">
        <v>37</v>
      </c>
      <c r="E205">
        <v>42</v>
      </c>
      <c r="F205">
        <v>5</v>
      </c>
      <c r="G205">
        <v>2</v>
      </c>
      <c r="H205" s="1">
        <v>5.0810185185185186E-3</v>
      </c>
      <c r="I205">
        <v>2019</v>
      </c>
      <c r="J205" t="s">
        <v>59</v>
      </c>
      <c r="K205" s="2" t="str">
        <f>HYPERLINK("https://www.nba.com/stats/events?CFID=&amp;CFPARAMS=&amp;GameEventID=233&amp;GameID=0021900458&amp;Season=2019-20&amp;flag=1&amp;title=L.%20Shamet%20layup%20(4%20PTS)%20(K.%20Leonard%202%20AST)", "L. Shamet layup (4 PTS) (K. Leonard 2 AST)")</f>
        <v>L. Shamet layup (4 PTS) (K. Leonard 2 AST)</v>
      </c>
      <c r="L205" s="2" t="str">
        <f>HYPERLINK("https://www.nba.com/game/...-vs-...-0021900458/play-by-play?watchFullGame=true", "LAC vs LAL - Q2 07:19.00")</f>
        <v>LAC vs LAL - Q2 07:19.00</v>
      </c>
      <c r="M205">
        <v>3.12</v>
      </c>
      <c r="N205">
        <v>8.07</v>
      </c>
      <c r="O205">
        <v>52.38</v>
      </c>
      <c r="P205">
        <v>-12</v>
      </c>
      <c r="Q205">
        <v>23</v>
      </c>
      <c r="R205">
        <v>8</v>
      </c>
      <c r="S205">
        <v>52</v>
      </c>
      <c r="T205" t="s">
        <v>73</v>
      </c>
    </row>
    <row r="206" spans="1:20" x14ac:dyDescent="0.25">
      <c r="A206">
        <v>22300505</v>
      </c>
      <c r="B206" t="s">
        <v>4</v>
      </c>
      <c r="C206" t="s">
        <v>70</v>
      </c>
      <c r="D206">
        <v>103</v>
      </c>
      <c r="E206">
        <v>105</v>
      </c>
      <c r="F206">
        <v>2</v>
      </c>
      <c r="G206">
        <v>4</v>
      </c>
      <c r="H206" s="1">
        <v>5.6712962962962965E-5</v>
      </c>
      <c r="I206">
        <v>2023</v>
      </c>
      <c r="J206" t="s">
        <v>59</v>
      </c>
      <c r="K206" s="2" t="str">
        <f>HYPERLINK("https://www.nba.com/stats/events?CFID=&amp;CFPARAMS=&amp;GameEventID=634&amp;GameID=0022300505&amp;Season=2023-24&amp;flag=1&amp;title=I.%20Zubac%20Hook%20(22%20PTS)%20(K.%20Leonard%202%20AST)", "I. Zubac Hook (22 PTS) (K. Leonard 2 AST)")</f>
        <v>I. Zubac Hook (22 PTS) (K. Leonard 2 AST)</v>
      </c>
      <c r="L206" s="2" t="str">
        <f>HYPERLINK("https://www.nba.com/game/...-vs-...-0022300505/play-by-play?watchFullGame=true", "LAC vs LAL - Q4 00:04.90")</f>
        <v>LAC vs LAL - Q4 00:04.90</v>
      </c>
      <c r="M206">
        <v>2.74</v>
      </c>
      <c r="N206">
        <v>8.4600000000000009</v>
      </c>
      <c r="O206">
        <v>49.02</v>
      </c>
      <c r="P206">
        <v>5</v>
      </c>
      <c r="Q206">
        <v>27</v>
      </c>
      <c r="R206">
        <v>8</v>
      </c>
      <c r="S206">
        <v>49</v>
      </c>
      <c r="T206" t="s">
        <v>73</v>
      </c>
    </row>
    <row r="207" spans="1:20" x14ac:dyDescent="0.25">
      <c r="A207">
        <v>22201112</v>
      </c>
      <c r="B207" t="s">
        <v>10</v>
      </c>
      <c r="C207" t="s">
        <v>9</v>
      </c>
      <c r="D207">
        <v>10</v>
      </c>
      <c r="E207">
        <v>16</v>
      </c>
      <c r="F207">
        <v>6</v>
      </c>
      <c r="G207">
        <v>1</v>
      </c>
      <c r="H207" s="1">
        <v>5.3356481481481484E-3</v>
      </c>
      <c r="I207">
        <v>2022</v>
      </c>
      <c r="J207" t="s">
        <v>59</v>
      </c>
      <c r="K207" s="2" t="str">
        <f>HYPERLINK("https://www.nba.com/stats/events?CFID=&amp;CFPARAMS=&amp;GameEventID=49&amp;GameID=0022201112&amp;Season=2022-23&amp;flag=1&amp;title=R.%20Westbrook%203PT%20%20(3%20PTS)%20(K.%20Leonard%202%20AST)", "R. Westbrook 3PT  (3 PTS) (K. Leonard 2 AST)")</f>
        <v>R. Westbrook 3PT  (3 PTS) (K. Leonard 2 AST)</v>
      </c>
      <c r="L207" s="2" t="str">
        <f>HYPERLINK("https://www.nba.com/game/...-vs-...-0022201112/play-by-play?watchFullGame=true", "LAC vs NOP - Q1 07:41.00")</f>
        <v>LAC vs NOP - Q1 07:41.00</v>
      </c>
      <c r="M207">
        <v>23.45</v>
      </c>
      <c r="N207">
        <v>8.59</v>
      </c>
      <c r="O207">
        <v>96.57</v>
      </c>
      <c r="P207">
        <v>-233</v>
      </c>
      <c r="Q207">
        <v>28</v>
      </c>
      <c r="R207">
        <v>8</v>
      </c>
      <c r="S207">
        <v>96</v>
      </c>
      <c r="T207" t="s">
        <v>73</v>
      </c>
    </row>
    <row r="208" spans="1:20" x14ac:dyDescent="0.25">
      <c r="A208">
        <v>22300085</v>
      </c>
      <c r="B208" t="s">
        <v>4</v>
      </c>
      <c r="C208" t="s">
        <v>9</v>
      </c>
      <c r="D208">
        <v>58</v>
      </c>
      <c r="E208">
        <v>67</v>
      </c>
      <c r="F208">
        <v>9</v>
      </c>
      <c r="G208">
        <v>3</v>
      </c>
      <c r="H208" s="1">
        <v>7.2685185185185188E-3</v>
      </c>
      <c r="I208">
        <v>2023</v>
      </c>
      <c r="J208" t="s">
        <v>59</v>
      </c>
      <c r="K208" s="2" t="str">
        <f>HYPERLINK("https://www.nba.com/stats/events?CFID=&amp;CFPARAMS=&amp;GameEventID=338&amp;GameID=0022300085&amp;Season=2023-24&amp;flag=1&amp;title=P.%20George%206'%20driving%20floating%20bank%20Jump%20Shot%20(18%20PTS)%20(K.%20Leonard%202%20AST)", "P. George 6' driving floating bank Jump Shot (18 PTS) (K. Leonard 2 AST)")</f>
        <v>P. George 6' driving floating bank Jump Shot (18 PTS) (K. Leonard 2 AST)</v>
      </c>
      <c r="L208" s="2" t="str">
        <f>HYPERLINK("https://www.nba.com/game/...-vs-...-0022300085/play-by-play?watchFullGame=true", "LAC vs UTA - Q3 10:28.00")</f>
        <v>LAC vs UTA - Q3 10:28.00</v>
      </c>
      <c r="M208">
        <v>6.04</v>
      </c>
      <c r="N208">
        <v>8.49</v>
      </c>
      <c r="O208">
        <v>39.22</v>
      </c>
      <c r="P208">
        <v>54</v>
      </c>
      <c r="Q208">
        <v>27</v>
      </c>
      <c r="R208">
        <v>8</v>
      </c>
      <c r="S208">
        <v>39</v>
      </c>
      <c r="T208" t="s">
        <v>73</v>
      </c>
    </row>
    <row r="209" spans="1:20" x14ac:dyDescent="0.25">
      <c r="A209">
        <v>21900051</v>
      </c>
      <c r="B209" t="s">
        <v>4</v>
      </c>
      <c r="C209" t="s">
        <v>69</v>
      </c>
      <c r="D209">
        <v>108</v>
      </c>
      <c r="E209">
        <v>94</v>
      </c>
      <c r="F209">
        <v>14</v>
      </c>
      <c r="G209">
        <v>4</v>
      </c>
      <c r="H209" s="1">
        <v>1.3425925925925925E-3</v>
      </c>
      <c r="I209">
        <v>2019</v>
      </c>
      <c r="J209" t="s">
        <v>59</v>
      </c>
      <c r="K209" s="2" t="str">
        <f>HYPERLINK("https://www.nba.com/stats/events?CFID=&amp;CFPARAMS=&amp;GameEventID=647&amp;GameID=0021900051&amp;Season=2019-20&amp;flag=1&amp;title=[LAC]%20Harrell%20layup:%20Made%20(19%20PTS)%20assist:%20Leonard%20(6%20AST)", "[LAC] Harrell layup: Made (19 PTS) assist: Leonard (6 AST)")</f>
        <v>[LAC] Harrell layup: Made (19 PTS) assist: Leonard (6 AST)</v>
      </c>
      <c r="L209" s="2" t="str">
        <f>HYPERLINK("https://www.nba.com/game/...-vs-...-0021900051/play-by-play?watchFullGame=true", "LAC vs CHA - Q4 01:56.00")</f>
        <v>LAC vs CHA - Q4 01:56.00</v>
      </c>
      <c r="M209">
        <v>3.84</v>
      </c>
      <c r="N209">
        <v>8.98</v>
      </c>
      <c r="O209">
        <v>51.65</v>
      </c>
      <c r="P209">
        <v>-8</v>
      </c>
      <c r="Q209">
        <v>32</v>
      </c>
      <c r="R209">
        <v>8</v>
      </c>
      <c r="S209">
        <v>51</v>
      </c>
      <c r="T209" t="s">
        <v>73</v>
      </c>
    </row>
    <row r="210" spans="1:20" x14ac:dyDescent="0.25">
      <c r="A210">
        <v>21900516</v>
      </c>
      <c r="B210" t="s">
        <v>4</v>
      </c>
      <c r="C210" t="s">
        <v>61</v>
      </c>
      <c r="D210">
        <v>79</v>
      </c>
      <c r="E210">
        <v>69</v>
      </c>
      <c r="F210">
        <v>10</v>
      </c>
      <c r="G210">
        <v>3</v>
      </c>
      <c r="H210" s="1">
        <v>5.7986111111111112E-3</v>
      </c>
      <c r="I210">
        <v>2019</v>
      </c>
      <c r="J210" t="s">
        <v>59</v>
      </c>
      <c r="K210" s="2" t="str">
        <f>HYPERLINK("https://www.nba.com/stats/events?CFID=&amp;CFPARAMS=&amp;GameEventID=412&amp;GameID=0021900516&amp;Season=2019-20&amp;flag=1&amp;title=I.%20Zubac%20jumpshot%20(8%20PTS)%20(K.%20Leonard%205%20AST)", "I. Zubac jumpshot (8 PTS) (K. Leonard 5 AST)")</f>
        <v>I. Zubac jumpshot (8 PTS) (K. Leonard 5 AST)</v>
      </c>
      <c r="L210" s="2" t="str">
        <f>HYPERLINK("https://www.nba.com/game/...-vs-...-0021900516/play-by-play?watchFullGame=true", "LAC vs DET - Q3 08:21.00")</f>
        <v>LAC vs DET - Q3 08:21.00</v>
      </c>
      <c r="M210">
        <v>3.48</v>
      </c>
      <c r="N210">
        <v>8.33</v>
      </c>
      <c r="O210">
        <v>46.99</v>
      </c>
      <c r="P210">
        <v>15</v>
      </c>
      <c r="Q210">
        <v>26</v>
      </c>
      <c r="R210">
        <v>8</v>
      </c>
      <c r="S210">
        <v>46</v>
      </c>
      <c r="T210" t="s">
        <v>73</v>
      </c>
    </row>
    <row r="211" spans="1:20" x14ac:dyDescent="0.25">
      <c r="A211">
        <v>22200932</v>
      </c>
      <c r="B211" t="s">
        <v>4</v>
      </c>
      <c r="C211" t="s">
        <v>64</v>
      </c>
      <c r="D211">
        <v>58</v>
      </c>
      <c r="E211">
        <v>60</v>
      </c>
      <c r="F211">
        <v>2</v>
      </c>
      <c r="G211">
        <v>3</v>
      </c>
      <c r="H211" s="1">
        <v>7.9629629629629634E-3</v>
      </c>
      <c r="I211">
        <v>2022</v>
      </c>
      <c r="J211" t="s">
        <v>59</v>
      </c>
      <c r="K211" s="2" t="str">
        <f>HYPERLINK("https://www.nba.com/stats/events?CFID=&amp;CFPARAMS=&amp;GameEventID=359&amp;GameID=0022200932&amp;Season=2022-23&amp;flag=1&amp;title=I.%20Zubac%20Layup%20(10%20PTS)%20(K.%20Leonard%204%20AST)", "I. Zubac Layup (10 PTS) (K. Leonard 4 AST)")</f>
        <v>I. Zubac Layup (10 PTS) (K. Leonard 4 AST)</v>
      </c>
      <c r="L211" s="2" t="str">
        <f>HYPERLINK("https://www.nba.com/game/...-vs-...-0022200932/play-by-play?watchFullGame=true", "LAC vs MIN - Q3 11:28.00")</f>
        <v>LAC vs MIN - Q3 11:28.00</v>
      </c>
      <c r="M211">
        <v>2.63</v>
      </c>
      <c r="N211">
        <v>8.07</v>
      </c>
      <c r="O211">
        <v>52.45</v>
      </c>
      <c r="P211">
        <v>-12</v>
      </c>
      <c r="Q211">
        <v>23</v>
      </c>
      <c r="R211">
        <v>8</v>
      </c>
      <c r="S211">
        <v>52</v>
      </c>
      <c r="T211" t="s">
        <v>73</v>
      </c>
    </row>
    <row r="212" spans="1:20" x14ac:dyDescent="0.25">
      <c r="A212">
        <v>21900157</v>
      </c>
      <c r="B212" t="s">
        <v>4</v>
      </c>
      <c r="C212" t="s">
        <v>69</v>
      </c>
      <c r="D212">
        <v>41</v>
      </c>
      <c r="E212">
        <v>49</v>
      </c>
      <c r="F212">
        <v>8</v>
      </c>
      <c r="G212">
        <v>3</v>
      </c>
      <c r="H212" s="1">
        <v>7.5462962962962966E-3</v>
      </c>
      <c r="I212">
        <v>2019</v>
      </c>
      <c r="J212" t="s">
        <v>59</v>
      </c>
      <c r="K212" s="2" t="str">
        <f>HYPERLINK("https://www.nba.com/stats/events?CFID=&amp;CFPARAMS=&amp;GameEventID=353&amp;GameID=0021900157&amp;Season=2019-20&amp;flag=1&amp;title=I.%20Zubac%20layup%20(3%20PTS)%20(K.%20Leonard%203%20AST)", "I. Zubac layup (3 PTS) (K. Leonard 3 AST)")</f>
        <v>I. Zubac layup (3 PTS) (K. Leonard 3 AST)</v>
      </c>
      <c r="L212" s="2" t="str">
        <f>HYPERLINK("https://www.nba.com/game/...-vs-...-0021900157/play-by-play?watchFullGame=true", "LAC vs HOU - Q3 10:52.00")</f>
        <v>LAC vs HOU - Q3 10:52.00</v>
      </c>
      <c r="M212">
        <v>2.98</v>
      </c>
      <c r="N212">
        <v>8.07</v>
      </c>
      <c r="O212">
        <v>48.46</v>
      </c>
      <c r="P212">
        <v>8</v>
      </c>
      <c r="Q212">
        <v>23</v>
      </c>
      <c r="R212">
        <v>8</v>
      </c>
      <c r="S212">
        <v>48</v>
      </c>
      <c r="T212" t="s">
        <v>73</v>
      </c>
    </row>
    <row r="213" spans="1:20" x14ac:dyDescent="0.25">
      <c r="A213">
        <v>21900224</v>
      </c>
      <c r="B213" t="s">
        <v>4</v>
      </c>
      <c r="C213" t="s">
        <v>69</v>
      </c>
      <c r="D213">
        <v>107</v>
      </c>
      <c r="E213">
        <v>108</v>
      </c>
      <c r="F213">
        <v>1</v>
      </c>
      <c r="G213">
        <v>4</v>
      </c>
      <c r="H213" s="1">
        <v>2.8009259259259259E-3</v>
      </c>
      <c r="I213">
        <v>2019</v>
      </c>
      <c r="J213" t="s">
        <v>59</v>
      </c>
      <c r="K213" s="2" t="str">
        <f>HYPERLINK("https://www.nba.com/stats/events?CFID=&amp;CFPARAMS=&amp;GameEventID=640&amp;GameID=0021900224&amp;Season=2019-20&amp;flag=1&amp;title=M.%20Harrell%20layup%20(18%20PTS)%20(K.%20Leonard%203%20AST)", "M. Harrell layup (18 PTS) (K. Leonard 3 AST)")</f>
        <v>M. Harrell layup (18 PTS) (K. Leonard 3 AST)</v>
      </c>
      <c r="L213" s="2" t="str">
        <f>HYPERLINK("https://www.nba.com/game/...-vs-...-0021900224/play-by-play?watchFullGame=true", "LAC vs HOU - Q4 04:02.00")</f>
        <v>LAC vs HOU - Q4 04:02.00</v>
      </c>
      <c r="M213">
        <v>3.15</v>
      </c>
      <c r="N213">
        <v>8.33</v>
      </c>
      <c r="O213">
        <v>50.67</v>
      </c>
      <c r="P213">
        <v>-3</v>
      </c>
      <c r="Q213">
        <v>26</v>
      </c>
      <c r="R213">
        <v>8</v>
      </c>
      <c r="S213">
        <v>50</v>
      </c>
      <c r="T213" t="s">
        <v>73</v>
      </c>
    </row>
    <row r="214" spans="1:20" x14ac:dyDescent="0.25">
      <c r="A214">
        <v>22000509</v>
      </c>
      <c r="B214" t="s">
        <v>10</v>
      </c>
      <c r="C214" t="s">
        <v>9</v>
      </c>
      <c r="D214">
        <v>76</v>
      </c>
      <c r="E214">
        <v>62</v>
      </c>
      <c r="F214">
        <v>14</v>
      </c>
      <c r="G214">
        <v>3</v>
      </c>
      <c r="H214" s="1">
        <v>4.0046296296296297E-3</v>
      </c>
      <c r="I214">
        <v>2020</v>
      </c>
      <c r="J214" t="s">
        <v>59</v>
      </c>
      <c r="K214" s="2" t="str">
        <f>HYPERLINK("https://www.nba.com/stats/events?CFID=&amp;CFPARAMS=&amp;GameEventID=400&amp;GameID=0022000509&amp;Season=2020-21&amp;flag=1&amp;title=N.%20Batum%203PT%20%20(8%20PTS)%20(K.%20Leonard%205%20AST)", "N. Batum 3PT  (8 PTS) (K. Leonard 5 AST)")</f>
        <v>N. Batum 3PT  (8 PTS) (K. Leonard 5 AST)</v>
      </c>
      <c r="L214" s="2" t="str">
        <f>HYPERLINK("https://www.nba.com/game/...-vs-...-0022000509/play-by-play?watchFullGame=true", "LAC vs MEM - Q3 05:46.00")</f>
        <v>LAC vs MEM - Q3 05:46.00</v>
      </c>
      <c r="M214">
        <v>22.89</v>
      </c>
      <c r="N214">
        <v>8.6199999999999992</v>
      </c>
      <c r="O214">
        <v>95.41</v>
      </c>
      <c r="P214">
        <v>-227</v>
      </c>
      <c r="Q214">
        <v>29</v>
      </c>
      <c r="R214">
        <v>8</v>
      </c>
      <c r="S214">
        <v>95</v>
      </c>
      <c r="T214" t="s">
        <v>73</v>
      </c>
    </row>
    <row r="215" spans="1:20" x14ac:dyDescent="0.25">
      <c r="A215">
        <v>22001034</v>
      </c>
      <c r="B215" t="s">
        <v>4</v>
      </c>
      <c r="C215" t="s">
        <v>65</v>
      </c>
      <c r="D215">
        <v>60</v>
      </c>
      <c r="E215">
        <v>49</v>
      </c>
      <c r="F215">
        <v>11</v>
      </c>
      <c r="G215">
        <v>2</v>
      </c>
      <c r="H215" s="1">
        <v>4.907407407407407E-4</v>
      </c>
      <c r="I215">
        <v>2020</v>
      </c>
      <c r="J215" t="s">
        <v>59</v>
      </c>
      <c r="K215" s="2" t="str">
        <f>HYPERLINK("https://www.nba.com/stats/events?CFID=&amp;CFPARAMS=&amp;GameEventID=319&amp;GameID=0022001034&amp;Season=2020-21&amp;flag=1&amp;title=T.%20Mann%20driving%20DUNK%20(7%20PTS)%20(K.%20Leonard%202%20AST)", "T. Mann driving DUNK (7 PTS) (K. Leonard 2 AST)")</f>
        <v>T. Mann driving DUNK (7 PTS) (K. Leonard 2 AST)</v>
      </c>
      <c r="L215" s="2" t="str">
        <f>HYPERLINK("https://www.nba.com/game/...-vs-...-0022001034/play-by-play?watchFullGame=true", "LAC vs TOR - Q2 00:42.40")</f>
        <v>LAC vs TOR - Q2 00:42.40</v>
      </c>
      <c r="M215">
        <v>3.46</v>
      </c>
      <c r="N215">
        <v>8.49</v>
      </c>
      <c r="O215">
        <v>54.24</v>
      </c>
      <c r="P215">
        <v>-21</v>
      </c>
      <c r="Q215">
        <v>27</v>
      </c>
      <c r="R215">
        <v>8</v>
      </c>
      <c r="S215">
        <v>54</v>
      </c>
      <c r="T215" t="s">
        <v>73</v>
      </c>
    </row>
    <row r="216" spans="1:20" x14ac:dyDescent="0.25">
      <c r="A216">
        <v>22300688</v>
      </c>
      <c r="B216" t="s">
        <v>4</v>
      </c>
      <c r="C216" t="s">
        <v>64</v>
      </c>
      <c r="D216">
        <v>77</v>
      </c>
      <c r="E216">
        <v>69</v>
      </c>
      <c r="F216">
        <v>8</v>
      </c>
      <c r="G216">
        <v>3</v>
      </c>
      <c r="H216" s="1">
        <v>6.1921296296296299E-3</v>
      </c>
      <c r="I216">
        <v>2023</v>
      </c>
      <c r="J216" t="s">
        <v>59</v>
      </c>
      <c r="K216" s="2" t="str">
        <f>HYPERLINK("https://www.nba.com/stats/events?CFID=&amp;CFPARAMS=&amp;GameEventID=358&amp;GameID=0022300688&amp;Season=2023-24&amp;flag=1&amp;title=M.%20Plumlee%20cutting%20Layup%20(8%20PTS)%20(K.%20Leonard%203%20AST)", "M. Plumlee cutting Layup (8 PTS) (K. Leonard 3 AST)")</f>
        <v>M. Plumlee cutting Layup (8 PTS) (K. Leonard 3 AST)</v>
      </c>
      <c r="L216" s="2" t="str">
        <f>HYPERLINK("https://www.nba.com/game/...-vs-...-0022300688/play-by-play?watchFullGame=true", "LAC vs DET - Q3 08:55.00")</f>
        <v>LAC vs DET - Q3 08:55.00</v>
      </c>
      <c r="M216">
        <v>3.02</v>
      </c>
      <c r="N216">
        <v>8.75</v>
      </c>
      <c r="O216">
        <v>49.02</v>
      </c>
      <c r="P216">
        <v>5</v>
      </c>
      <c r="Q216">
        <v>30</v>
      </c>
      <c r="R216">
        <v>8</v>
      </c>
      <c r="S216">
        <v>49</v>
      </c>
      <c r="T216" t="s">
        <v>73</v>
      </c>
    </row>
    <row r="217" spans="1:20" x14ac:dyDescent="0.25">
      <c r="A217">
        <v>22200719</v>
      </c>
      <c r="B217" t="s">
        <v>4</v>
      </c>
      <c r="C217" t="s">
        <v>64</v>
      </c>
      <c r="D217">
        <v>94</v>
      </c>
      <c r="E217">
        <v>78</v>
      </c>
      <c r="F217">
        <v>16</v>
      </c>
      <c r="G217">
        <v>3</v>
      </c>
      <c r="H217" s="1">
        <v>2.2337962962962962E-3</v>
      </c>
      <c r="I217">
        <v>2022</v>
      </c>
      <c r="J217" t="s">
        <v>59</v>
      </c>
      <c r="K217" s="2" t="str">
        <f>HYPERLINK("https://www.nba.com/stats/events?CFID=&amp;CFPARAMS=&amp;GameEventID=441&amp;GameID=0022200719&amp;Season=2022-23&amp;flag=1&amp;title=N.%20Powell%20reverse%20Layup%20(16%20PTS)%20(K.%20Leonard%203%20AST)", "N. Powell reverse Layup (16 PTS) (K. Leonard 3 AST)")</f>
        <v>N. Powell reverse Layup (16 PTS) (K. Leonard 3 AST)</v>
      </c>
      <c r="L217" s="2" t="str">
        <f>HYPERLINK("https://www.nba.com/game/...-vs-...-0022200719/play-by-play?watchFullGame=true", "LAC vs LAL - Q3 03:13.00")</f>
        <v>LAC vs LAL - Q3 03:13.00</v>
      </c>
      <c r="M217">
        <v>2.61</v>
      </c>
      <c r="N217">
        <v>8.33</v>
      </c>
      <c r="O217">
        <v>49.26</v>
      </c>
      <c r="P217">
        <v>4</v>
      </c>
      <c r="Q217">
        <v>26</v>
      </c>
      <c r="R217">
        <v>8</v>
      </c>
      <c r="S217">
        <v>49</v>
      </c>
      <c r="T217" t="s">
        <v>73</v>
      </c>
    </row>
    <row r="218" spans="1:20" x14ac:dyDescent="0.25">
      <c r="A218">
        <v>22000799</v>
      </c>
      <c r="B218" t="s">
        <v>4</v>
      </c>
      <c r="C218" t="s">
        <v>64</v>
      </c>
      <c r="D218">
        <v>71</v>
      </c>
      <c r="E218">
        <v>50</v>
      </c>
      <c r="F218">
        <v>21</v>
      </c>
      <c r="G218">
        <v>3</v>
      </c>
      <c r="H218" s="1">
        <v>7.4189814814814813E-3</v>
      </c>
      <c r="I218">
        <v>2020</v>
      </c>
      <c r="J218" t="s">
        <v>59</v>
      </c>
      <c r="K218" s="2" t="str">
        <f>HYPERLINK("https://www.nba.com/stats/events?CFID=&amp;CFPARAMS=&amp;GameEventID=360&amp;GameID=0022000799&amp;Season=2020-21&amp;flag=1&amp;title=R.%20Jackson%20driving%20Layup%20(19%20PTS)%20(K.%20Leonard%207%20AST)", "R. Jackson driving Layup (19 PTS) (K. Leonard 7 AST)")</f>
        <v>R. Jackson driving Layup (19 PTS) (K. Leonard 7 AST)</v>
      </c>
      <c r="L218" s="2" t="str">
        <f>HYPERLINK("https://www.nba.com/game/...-vs-...-0022000799/play-by-play?watchFullGame=true", "LAC vs HOU - Q3 10:41.00")</f>
        <v>LAC vs HOU - Q3 10:41.00</v>
      </c>
      <c r="M218">
        <v>2.61</v>
      </c>
      <c r="N218">
        <v>8.36</v>
      </c>
      <c r="O218">
        <v>50.31</v>
      </c>
      <c r="P218">
        <v>-2</v>
      </c>
      <c r="Q218">
        <v>26</v>
      </c>
      <c r="R218">
        <v>8</v>
      </c>
      <c r="S218">
        <v>50</v>
      </c>
      <c r="T218" t="s">
        <v>73</v>
      </c>
    </row>
    <row r="219" spans="1:20" x14ac:dyDescent="0.25">
      <c r="A219">
        <v>22000077</v>
      </c>
      <c r="B219" t="s">
        <v>4</v>
      </c>
      <c r="C219" t="s">
        <v>70</v>
      </c>
      <c r="D219">
        <v>15</v>
      </c>
      <c r="E219">
        <v>13</v>
      </c>
      <c r="F219">
        <v>2</v>
      </c>
      <c r="G219">
        <v>1</v>
      </c>
      <c r="H219" s="1">
        <v>3.1828703703703702E-3</v>
      </c>
      <c r="I219">
        <v>2020</v>
      </c>
      <c r="J219" t="s">
        <v>59</v>
      </c>
      <c r="K219" s="2" t="str">
        <f>HYPERLINK("https://www.nba.com/stats/events?CFID=&amp;CFPARAMS=&amp;GameEventID=89&amp;GameID=0022000077&amp;Season=2020-21&amp;flag=1&amp;title=I.%20Zubac%206'%20bank%20Hook%20(2%20PTS)%20(K.%20Leonard%201%20AST)", "I. Zubac 6' bank Hook (2 PTS) (K. Leonard 1 AST)")</f>
        <v>I. Zubac 6' bank Hook (2 PTS) (K. Leonard 1 AST)</v>
      </c>
      <c r="L219" s="2" t="str">
        <f>HYPERLINK("https://www.nba.com/game/...-vs-...-0022000077/play-by-play?watchFullGame=true", "LAC vs UTA - Q1 04:35.00")</f>
        <v>LAC vs UTA - Q1 04:35.00</v>
      </c>
      <c r="M219">
        <v>6.9</v>
      </c>
      <c r="N219">
        <v>8.75</v>
      </c>
      <c r="O219">
        <v>37.57</v>
      </c>
      <c r="P219">
        <v>62</v>
      </c>
      <c r="Q219">
        <v>30</v>
      </c>
      <c r="R219">
        <v>8</v>
      </c>
      <c r="S219">
        <v>37</v>
      </c>
      <c r="T219" t="s">
        <v>73</v>
      </c>
    </row>
    <row r="220" spans="1:20" x14ac:dyDescent="0.25">
      <c r="A220">
        <v>22000251</v>
      </c>
      <c r="B220" t="s">
        <v>10</v>
      </c>
      <c r="C220" t="s">
        <v>9</v>
      </c>
      <c r="D220">
        <v>100</v>
      </c>
      <c r="E220">
        <v>83</v>
      </c>
      <c r="F220">
        <v>17</v>
      </c>
      <c r="G220">
        <v>4</v>
      </c>
      <c r="H220" s="1">
        <v>3.1481481481481482E-3</v>
      </c>
      <c r="I220">
        <v>2020</v>
      </c>
      <c r="J220" t="s">
        <v>59</v>
      </c>
      <c r="K220" s="2" t="str">
        <f>HYPERLINK("https://www.nba.com/stats/events?CFID=&amp;CFPARAMS=&amp;GameEventID=554&amp;GameID=0022000251&amp;Season=2020-21&amp;flag=1&amp;title=P.%20George%203PT%20%20(11%20PTS)%20(K.%20Leonard%208%20AST)", "P. George 3PT  (11 PTS) (K. Leonard 8 AST)")</f>
        <v>P. George 3PT  (11 PTS) (K. Leonard 8 AST)</v>
      </c>
      <c r="L220" s="2" t="str">
        <f>HYPERLINK("https://www.nba.com/game/...-vs-...-0022000251/play-by-play?watchFullGame=true", "LAC vs OKC - Q4 04:32.00")</f>
        <v>LAC vs OKC - Q4 04:32.00</v>
      </c>
      <c r="M220">
        <v>23.16</v>
      </c>
      <c r="N220">
        <v>8.49</v>
      </c>
      <c r="O220">
        <v>3.99</v>
      </c>
      <c r="P220">
        <v>230</v>
      </c>
      <c r="Q220">
        <v>27</v>
      </c>
      <c r="R220">
        <v>8</v>
      </c>
      <c r="S220">
        <v>3</v>
      </c>
      <c r="T220" t="s">
        <v>73</v>
      </c>
    </row>
    <row r="221" spans="1:20" x14ac:dyDescent="0.25">
      <c r="A221">
        <v>22300618</v>
      </c>
      <c r="B221" t="s">
        <v>4</v>
      </c>
      <c r="C221" t="s">
        <v>9</v>
      </c>
      <c r="D221">
        <v>117</v>
      </c>
      <c r="E221">
        <v>108</v>
      </c>
      <c r="F221">
        <v>9</v>
      </c>
      <c r="G221">
        <v>4</v>
      </c>
      <c r="H221" s="1">
        <v>3.9120370370370368E-3</v>
      </c>
      <c r="I221">
        <v>2023</v>
      </c>
      <c r="J221" t="s">
        <v>59</v>
      </c>
      <c r="K221" s="2" t="str">
        <f>HYPERLINK("https://www.nba.com/stats/events?CFID=&amp;CFPARAMS=&amp;GameEventID=559&amp;GameID=0022300618&amp;Season=2023-24&amp;flag=1&amp;title=N.%20Powell%20driving%20floating%20bank%20Jump%20Shot%20(15%20PTS)%20(K.%20Leonard%209%20AST)", "N. Powell driving floating bank Jump Shot (15 PTS) (K. Leonard 9 AST)")</f>
        <v>N. Powell driving floating bank Jump Shot (15 PTS) (K. Leonard 9 AST)</v>
      </c>
      <c r="L221" s="2" t="str">
        <f>HYPERLINK("https://www.nba.com/game/...-vs-...-0022300618/play-by-play?watchFullGame=true", "LAC vs LAL - Q4 05:38.00")</f>
        <v>LAC vs LAL - Q4 05:38.00</v>
      </c>
      <c r="M221">
        <v>3.76</v>
      </c>
      <c r="N221">
        <v>8.7200000000000006</v>
      </c>
      <c r="O221">
        <v>54.66</v>
      </c>
      <c r="P221">
        <v>-23</v>
      </c>
      <c r="Q221">
        <v>29</v>
      </c>
      <c r="R221">
        <v>8</v>
      </c>
      <c r="S221">
        <v>54</v>
      </c>
      <c r="T221" t="s">
        <v>73</v>
      </c>
    </row>
    <row r="222" spans="1:20" x14ac:dyDescent="0.25">
      <c r="A222">
        <v>41900236</v>
      </c>
      <c r="B222" t="s">
        <v>4</v>
      </c>
      <c r="C222" t="s">
        <v>60</v>
      </c>
      <c r="D222">
        <v>57</v>
      </c>
      <c r="E222">
        <v>45</v>
      </c>
      <c r="F222">
        <v>12</v>
      </c>
      <c r="G222">
        <v>2</v>
      </c>
      <c r="H222" s="1">
        <v>1.25E-3</v>
      </c>
      <c r="I222" t="s">
        <v>62</v>
      </c>
      <c r="J222" t="s">
        <v>59</v>
      </c>
      <c r="K222" s="2" t="str">
        <f>HYPERLINK("https://www.nba.com/stats/events?CFID=&amp;CFPARAMS=&amp;GameEventID=288&amp;GameID=0041900236&amp;Season=2019-20&amp;flag=1&amp;title=P.%20Beverley%20hook%20(2%20PTS)%20(K.%20Leonard%204%20AST)", "P. Beverley hook (2 PTS) (K. Leonard 4 AST)")</f>
        <v>P. Beverley hook (2 PTS) (K. Leonard 4 AST)</v>
      </c>
      <c r="L222" s="2" t="str">
        <f>HYPERLINK("https://www.nba.com/game/...-vs-...-0041900236/play-by-play?watchFullGame=true", "LAC vs DEN - Q2 01:48.00")</f>
        <v>LAC vs DEN - Q2 01:48.00</v>
      </c>
      <c r="M222">
        <v>4.49</v>
      </c>
      <c r="N222">
        <v>8.89</v>
      </c>
      <c r="O222">
        <v>55.22</v>
      </c>
      <c r="P222">
        <v>-26</v>
      </c>
      <c r="Q222">
        <v>31</v>
      </c>
      <c r="R222">
        <v>8</v>
      </c>
      <c r="S222">
        <v>55</v>
      </c>
      <c r="T222" t="s">
        <v>73</v>
      </c>
    </row>
    <row r="223" spans="1:20" x14ac:dyDescent="0.25">
      <c r="A223">
        <v>22300014</v>
      </c>
      <c r="B223" t="s">
        <v>10</v>
      </c>
      <c r="C223" t="s">
        <v>9</v>
      </c>
      <c r="D223">
        <v>82</v>
      </c>
      <c r="E223">
        <v>111</v>
      </c>
      <c r="F223">
        <v>29</v>
      </c>
      <c r="G223">
        <v>3</v>
      </c>
      <c r="H223" s="1">
        <v>1.0532407407407407E-3</v>
      </c>
      <c r="I223">
        <v>2023</v>
      </c>
      <c r="J223" t="s">
        <v>59</v>
      </c>
      <c r="K223" s="2" t="str">
        <f>HYPERLINK("https://www.nba.com/stats/events?CFID=&amp;CFPARAMS=&amp;GameEventID=494&amp;GameID=0022300014&amp;Season=2023-24&amp;flag=1&amp;title=P.%20George%203PT%20%20(8%20PTS)%20(K.%20Leonard%204%20AST)", "P. George 3PT  (8 PTS) (K. Leonard 4 AST)")</f>
        <v>P. George 3PT  (8 PTS) (K. Leonard 4 AST)</v>
      </c>
      <c r="L223" s="2" t="str">
        <f>HYPERLINK("https://www.nba.com/game/...-vs-...-0022300014/play-by-play?watchFullGame=true", "LAC vs DAL - Q3 01:31.00")</f>
        <v>LAC vs DAL - Q3 01:31.00</v>
      </c>
      <c r="M223">
        <v>23.19</v>
      </c>
      <c r="N223">
        <v>8.36</v>
      </c>
      <c r="O223">
        <v>3.92</v>
      </c>
      <c r="P223">
        <v>230</v>
      </c>
      <c r="Q223">
        <v>26</v>
      </c>
      <c r="R223">
        <v>8</v>
      </c>
      <c r="S223">
        <v>3</v>
      </c>
      <c r="T223" t="s">
        <v>73</v>
      </c>
    </row>
    <row r="224" spans="1:20" x14ac:dyDescent="0.25">
      <c r="A224">
        <v>22000289</v>
      </c>
      <c r="B224" t="s">
        <v>10</v>
      </c>
      <c r="C224" t="s">
        <v>9</v>
      </c>
      <c r="D224">
        <v>72</v>
      </c>
      <c r="E224">
        <v>61</v>
      </c>
      <c r="F224">
        <v>11</v>
      </c>
      <c r="G224">
        <v>3</v>
      </c>
      <c r="H224" s="1">
        <v>4.8379629629629632E-3</v>
      </c>
      <c r="I224">
        <v>2020</v>
      </c>
      <c r="J224" t="s">
        <v>59</v>
      </c>
      <c r="K224" s="2" t="str">
        <f>HYPERLINK("https://www.nba.com/stats/events?CFID=&amp;CFPARAMS=&amp;GameEventID=373&amp;GameID=0022000289&amp;Season=2020-21&amp;flag=1&amp;title=R.%20Jackson%203PT%20%20(8%20PTS)%20(K.%20Leonard%202%20AST)", "R. Jackson 3PT  (8 PTS) (K. Leonard 2 AST)")</f>
        <v>R. Jackson 3PT  (8 PTS) (K. Leonard 2 AST)</v>
      </c>
      <c r="L224" s="2" t="str">
        <f>HYPERLINK("https://www.nba.com/game/...-vs-...-0022000289/play-by-play?watchFullGame=true", "LAC vs ORL - Q3 06:58.00")</f>
        <v>LAC vs ORL - Q3 06:58.00</v>
      </c>
      <c r="M224">
        <v>23.45</v>
      </c>
      <c r="N224">
        <v>8.23</v>
      </c>
      <c r="O224">
        <v>96.64</v>
      </c>
      <c r="P224">
        <v>-233</v>
      </c>
      <c r="Q224">
        <v>25</v>
      </c>
      <c r="R224">
        <v>8</v>
      </c>
      <c r="S224">
        <v>96</v>
      </c>
      <c r="T224" t="s">
        <v>73</v>
      </c>
    </row>
    <row r="225" spans="1:20" x14ac:dyDescent="0.25">
      <c r="A225">
        <v>22300646</v>
      </c>
      <c r="B225" t="s">
        <v>4</v>
      </c>
      <c r="C225" t="s">
        <v>65</v>
      </c>
      <c r="D225">
        <v>64</v>
      </c>
      <c r="E225">
        <v>46</v>
      </c>
      <c r="F225">
        <v>18</v>
      </c>
      <c r="G225">
        <v>3</v>
      </c>
      <c r="H225" s="1">
        <v>5.8101851851851856E-3</v>
      </c>
      <c r="I225">
        <v>2023</v>
      </c>
      <c r="J225" t="s">
        <v>59</v>
      </c>
      <c r="K225" s="2" t="str">
        <f>HYPERLINK("https://www.nba.com/stats/events?CFID=&amp;CFPARAMS=&amp;GameEventID=362&amp;GameID=0022300646&amp;Season=2023-24&amp;flag=1&amp;title=P.%20George%20running%20DUNK%20(12%20PTS)%20(K.%20Leonard%202%20AST)", "P. George running DUNK (12 PTS) (K. Leonard 2 AST)")</f>
        <v>P. George running DUNK (12 PTS) (K. Leonard 2 AST)</v>
      </c>
      <c r="L225" s="2" t="str">
        <f>HYPERLINK("https://www.nba.com/game/...-vs-...-0022300646/play-by-play?watchFullGame=true", "LAC vs BOS - Q3 08:22.00")</f>
        <v>LAC vs BOS - Q3 08:22.00</v>
      </c>
      <c r="M225">
        <v>3.1</v>
      </c>
      <c r="N225">
        <v>8.89</v>
      </c>
      <c r="O225">
        <v>50.25</v>
      </c>
      <c r="P225">
        <v>-1</v>
      </c>
      <c r="Q225">
        <v>31</v>
      </c>
      <c r="R225">
        <v>8</v>
      </c>
      <c r="S225">
        <v>50</v>
      </c>
      <c r="T225" t="s">
        <v>73</v>
      </c>
    </row>
    <row r="226" spans="1:20" x14ac:dyDescent="0.25">
      <c r="A226">
        <v>22300731</v>
      </c>
      <c r="B226" t="s">
        <v>4</v>
      </c>
      <c r="C226" t="s">
        <v>64</v>
      </c>
      <c r="D226">
        <v>17</v>
      </c>
      <c r="E226">
        <v>21</v>
      </c>
      <c r="F226">
        <v>4</v>
      </c>
      <c r="G226">
        <v>1</v>
      </c>
      <c r="H226" s="1">
        <v>2.3148148148148147E-3</v>
      </c>
      <c r="I226">
        <v>2023</v>
      </c>
      <c r="J226" t="s">
        <v>59</v>
      </c>
      <c r="K226" s="2" t="str">
        <f>HYPERLINK("https://www.nba.com/stats/events?CFID=&amp;CFPARAMS=&amp;GameEventID=103&amp;GameID=0022300731&amp;Season=2023-24&amp;flag=1&amp;title=M.%20Plumlee%20driving%20Layup%20(2%20PTS)%20(K.%20Leonard%201%20AST)", "M. Plumlee driving Layup (2 PTS) (K. Leonard 1 AST)")</f>
        <v>M. Plumlee driving Layup (2 PTS) (K. Leonard 1 AST)</v>
      </c>
      <c r="L226" s="2" t="str">
        <f>HYPERLINK("https://www.nba.com/game/...-vs-...-0022300731/play-by-play?watchFullGame=true", "LAC vs NOP - Q1 03:20.00")</f>
        <v>LAC vs NOP - Q1 03:20.00</v>
      </c>
      <c r="M226">
        <v>2.34</v>
      </c>
      <c r="N226">
        <v>8.07</v>
      </c>
      <c r="O226">
        <v>50.49</v>
      </c>
      <c r="P226">
        <v>-2</v>
      </c>
      <c r="Q226">
        <v>23</v>
      </c>
      <c r="R226">
        <v>8</v>
      </c>
      <c r="S226">
        <v>50</v>
      </c>
      <c r="T226" t="s">
        <v>73</v>
      </c>
    </row>
    <row r="227" spans="1:20" x14ac:dyDescent="0.25">
      <c r="A227">
        <v>22200810</v>
      </c>
      <c r="B227" t="s">
        <v>4</v>
      </c>
      <c r="C227" t="s">
        <v>70</v>
      </c>
      <c r="D227">
        <v>108</v>
      </c>
      <c r="E227">
        <v>107</v>
      </c>
      <c r="F227">
        <v>1</v>
      </c>
      <c r="G227">
        <v>4</v>
      </c>
      <c r="H227" s="1">
        <v>3.2291666666666666E-3</v>
      </c>
      <c r="I227">
        <v>2022</v>
      </c>
      <c r="J227" t="s">
        <v>59</v>
      </c>
      <c r="K227" s="2" t="str">
        <f>HYPERLINK("https://www.nba.com/stats/events?CFID=&amp;CFPARAMS=&amp;GameEventID=585&amp;GameID=0022200810&amp;Season=2022-23&amp;flag=1&amp;title=I.%20Zubac%20Hook%20(16%20PTS)%20(K.%20Leonard%204%20AST)", "I. Zubac Hook (16 PTS) (K. Leonard 4 AST)")</f>
        <v>I. Zubac Hook (16 PTS) (K. Leonard 4 AST)</v>
      </c>
      <c r="L227" s="2" t="str">
        <f>HYPERLINK("https://www.nba.com/game/...-vs-...-0022200810/play-by-play?watchFullGame=true", "LAC vs BKN - Q4 04:39.00")</f>
        <v>LAC vs BKN - Q4 04:39.00</v>
      </c>
      <c r="M227">
        <v>3.59</v>
      </c>
      <c r="N227">
        <v>8.49</v>
      </c>
      <c r="O227">
        <v>45.34</v>
      </c>
      <c r="P227">
        <v>23</v>
      </c>
      <c r="Q227">
        <v>27</v>
      </c>
      <c r="R227">
        <v>8</v>
      </c>
      <c r="S227">
        <v>45</v>
      </c>
      <c r="T227" t="s">
        <v>73</v>
      </c>
    </row>
    <row r="228" spans="1:20" x14ac:dyDescent="0.25">
      <c r="A228">
        <v>22000350</v>
      </c>
      <c r="B228" t="s">
        <v>10</v>
      </c>
      <c r="C228" t="s">
        <v>9</v>
      </c>
      <c r="D228">
        <v>11</v>
      </c>
      <c r="E228">
        <v>4</v>
      </c>
      <c r="F228">
        <v>7</v>
      </c>
      <c r="G228">
        <v>1</v>
      </c>
      <c r="H228" s="1">
        <v>6.7129629629629631E-3</v>
      </c>
      <c r="I228">
        <v>2020</v>
      </c>
      <c r="J228" t="s">
        <v>59</v>
      </c>
      <c r="K228" s="2" t="str">
        <f>HYPERLINK("https://www.nba.com/stats/events?CFID=&amp;CFPARAMS=&amp;GameEventID=30&amp;GameID=0022000350&amp;Season=2020-21&amp;flag=1&amp;title=L.%20Kennard%203PT%20%20(8%20PTS)%20(K.%20Leonard%201%20AST)", "L. Kennard 3PT  (8 PTS) (K. Leonard 1 AST)")</f>
        <v>L. Kennard 3PT  (8 PTS) (K. Leonard 1 AST)</v>
      </c>
      <c r="L228" s="2" t="str">
        <f>HYPERLINK("https://www.nba.com/game/...-vs-...-0022000350/play-by-play?watchFullGame=true", "LAC vs BOS - Q1 09:40.00")</f>
        <v>LAC vs BOS - Q1 09:40.00</v>
      </c>
      <c r="M228">
        <v>23.69</v>
      </c>
      <c r="N228">
        <v>8.23</v>
      </c>
      <c r="O228">
        <v>97.13</v>
      </c>
      <c r="P228">
        <v>-236</v>
      </c>
      <c r="Q228">
        <v>25</v>
      </c>
      <c r="R228">
        <v>8</v>
      </c>
      <c r="S228">
        <v>97</v>
      </c>
      <c r="T228" t="s">
        <v>73</v>
      </c>
    </row>
    <row r="229" spans="1:20" x14ac:dyDescent="0.25">
      <c r="A229">
        <v>22200389</v>
      </c>
      <c r="B229" t="s">
        <v>4</v>
      </c>
      <c r="C229" t="s">
        <v>64</v>
      </c>
      <c r="D229">
        <v>71</v>
      </c>
      <c r="E229">
        <v>81</v>
      </c>
      <c r="F229">
        <v>10</v>
      </c>
      <c r="G229">
        <v>3</v>
      </c>
      <c r="H229" s="1">
        <v>3.6342592592592594E-3</v>
      </c>
      <c r="I229">
        <v>2022</v>
      </c>
      <c r="J229" t="s">
        <v>59</v>
      </c>
      <c r="K229" s="2" t="str">
        <f>HYPERLINK("https://www.nba.com/stats/events?CFID=&amp;CFPARAMS=&amp;GameEventID=407&amp;GameID=0022200389&amp;Season=2022-23&amp;flag=1&amp;title=P.%20George%20running%20Layup%20(21%20PTS)%20(K.%20Leonard%204%20AST)", "P. George running Layup (21 PTS) (K. Leonard 4 AST)")</f>
        <v>P. George running Layup (21 PTS) (K. Leonard 4 AST)</v>
      </c>
      <c r="L229" s="2" t="str">
        <f>HYPERLINK("https://www.nba.com/game/...-vs-...-0022200389/play-by-play?watchFullGame=true", "LAC vs WAS - Q3 05:14.00")</f>
        <v>LAC vs WAS - Q3 05:14.00</v>
      </c>
      <c r="M229">
        <v>2.6</v>
      </c>
      <c r="N229">
        <v>8.1</v>
      </c>
      <c r="O229">
        <v>47.79</v>
      </c>
      <c r="P229">
        <v>11</v>
      </c>
      <c r="Q229">
        <v>24</v>
      </c>
      <c r="R229">
        <v>8</v>
      </c>
      <c r="S229">
        <v>47</v>
      </c>
      <c r="T229" t="s">
        <v>73</v>
      </c>
    </row>
    <row r="230" spans="1:20" x14ac:dyDescent="0.25">
      <c r="A230">
        <v>22300511</v>
      </c>
      <c r="B230" t="s">
        <v>4</v>
      </c>
      <c r="C230" t="s">
        <v>70</v>
      </c>
      <c r="D230">
        <v>87</v>
      </c>
      <c r="E230">
        <v>75</v>
      </c>
      <c r="F230">
        <v>12</v>
      </c>
      <c r="G230">
        <v>3</v>
      </c>
      <c r="H230" s="1">
        <v>2.9050925925925928E-3</v>
      </c>
      <c r="I230">
        <v>2023</v>
      </c>
      <c r="J230" t="s">
        <v>59</v>
      </c>
      <c r="K230" s="2" t="str">
        <f>HYPERLINK("https://www.nba.com/stats/events?CFID=&amp;CFPARAMS=&amp;GameEventID=394&amp;GameID=0022300511&amp;Season=2023-24&amp;flag=1&amp;title=I.%20Zubac%20turnaround%20Hook%20(15%20PTS)%20(K.%20Leonard%202%20AST)", "I. Zubac turnaround Hook (15 PTS) (K. Leonard 2 AST)")</f>
        <v>I. Zubac turnaround Hook (15 PTS) (K. Leonard 2 AST)</v>
      </c>
      <c r="L230" s="2" t="str">
        <f>HYPERLINK("https://www.nba.com/game/...-vs-...-0022300511/play-by-play?watchFullGame=true", "LAC vs PHX - Q3 04:11.00")</f>
        <v>LAC vs PHX - Q3 04:11.00</v>
      </c>
      <c r="M230">
        <v>4.8099999999999996</v>
      </c>
      <c r="N230">
        <v>8.7200000000000006</v>
      </c>
      <c r="O230">
        <v>57.6</v>
      </c>
      <c r="P230">
        <v>-38</v>
      </c>
      <c r="Q230">
        <v>29</v>
      </c>
      <c r="R230">
        <v>8</v>
      </c>
      <c r="S230">
        <v>57</v>
      </c>
      <c r="T230" t="s">
        <v>73</v>
      </c>
    </row>
    <row r="231" spans="1:20" x14ac:dyDescent="0.25">
      <c r="A231">
        <v>22300309</v>
      </c>
      <c r="B231" t="s">
        <v>4</v>
      </c>
      <c r="C231" t="s">
        <v>64</v>
      </c>
      <c r="D231">
        <v>74</v>
      </c>
      <c r="E231">
        <v>51</v>
      </c>
      <c r="F231">
        <v>23</v>
      </c>
      <c r="G231">
        <v>3</v>
      </c>
      <c r="H231" s="1">
        <v>6.6435185185185182E-3</v>
      </c>
      <c r="I231">
        <v>2023</v>
      </c>
      <c r="J231" t="s">
        <v>59</v>
      </c>
      <c r="K231" s="2" t="str">
        <f>HYPERLINK("https://www.nba.com/stats/events?CFID=&amp;CFPARAMS=&amp;GameEventID=360&amp;GameID=0022300309&amp;Season=2023-24&amp;flag=1&amp;title=I.%20Zubac%20Layup%20(4%20PTS)%20(K.%20Leonard%203%20AST)", "I. Zubac Layup (4 PTS) (K. Leonard 3 AST)")</f>
        <v>I. Zubac Layup (4 PTS) (K. Leonard 3 AST)</v>
      </c>
      <c r="L231" s="2" t="str">
        <f>HYPERLINK("https://www.nba.com/game/...-vs-...-0022300309/play-by-play?watchFullGame=true", "LAC vs SAC - Q3 09:34.00")</f>
        <v>LAC vs SAC - Q3 09:34.00</v>
      </c>
      <c r="M231">
        <v>2.48</v>
      </c>
      <c r="N231">
        <v>8.07</v>
      </c>
      <c r="O231">
        <v>51.72</v>
      </c>
      <c r="P231">
        <v>-9</v>
      </c>
      <c r="Q231">
        <v>23</v>
      </c>
      <c r="R231">
        <v>8</v>
      </c>
      <c r="S231">
        <v>51</v>
      </c>
      <c r="T231" t="s">
        <v>73</v>
      </c>
    </row>
    <row r="232" spans="1:20" x14ac:dyDescent="0.25">
      <c r="A232">
        <v>22200408</v>
      </c>
      <c r="B232" t="s">
        <v>4</v>
      </c>
      <c r="C232" t="s">
        <v>64</v>
      </c>
      <c r="D232">
        <v>71</v>
      </c>
      <c r="E232">
        <v>55</v>
      </c>
      <c r="F232">
        <v>16</v>
      </c>
      <c r="G232">
        <v>3</v>
      </c>
      <c r="H232" s="1">
        <v>4.4791666666666669E-3</v>
      </c>
      <c r="I232">
        <v>2022</v>
      </c>
      <c r="J232" t="s">
        <v>59</v>
      </c>
      <c r="K232" s="2" t="str">
        <f>HYPERLINK("https://www.nba.com/stats/events?CFID=&amp;CFPARAMS=&amp;GameEventID=406&amp;GameID=0022200408&amp;Season=2022-23&amp;flag=1&amp;title=I.%20Zubac%20Layup%20(4%20PTS)%20(K.%20Leonard%206%20AST)", "I. Zubac Layup (4 PTS) (K. Leonard 6 AST)")</f>
        <v>I. Zubac Layup (4 PTS) (K. Leonard 6 AST)</v>
      </c>
      <c r="L232" s="2" t="str">
        <f>HYPERLINK("https://www.nba.com/game/...-vs-...-0022200408/play-by-play?watchFullGame=true", "LAC vs BOS - Q3 06:27.00")</f>
        <v>LAC vs BOS - Q3 06:27.00</v>
      </c>
      <c r="M232">
        <v>2.71</v>
      </c>
      <c r="N232">
        <v>8.4600000000000009</v>
      </c>
      <c r="O232">
        <v>49.51</v>
      </c>
      <c r="P232">
        <v>2</v>
      </c>
      <c r="Q232">
        <v>27</v>
      </c>
      <c r="R232">
        <v>8</v>
      </c>
      <c r="S232">
        <v>49</v>
      </c>
      <c r="T232" t="s">
        <v>73</v>
      </c>
    </row>
    <row r="233" spans="1:20" x14ac:dyDescent="0.25">
      <c r="A233">
        <v>22000660</v>
      </c>
      <c r="B233" t="s">
        <v>10</v>
      </c>
      <c r="C233" t="s">
        <v>9</v>
      </c>
      <c r="D233">
        <v>26</v>
      </c>
      <c r="E233">
        <v>18</v>
      </c>
      <c r="F233">
        <v>8</v>
      </c>
      <c r="G233">
        <v>1</v>
      </c>
      <c r="H233" s="1">
        <v>2.5115740740740741E-3</v>
      </c>
      <c r="I233">
        <v>2020</v>
      </c>
      <c r="J233" t="s">
        <v>59</v>
      </c>
      <c r="K233" s="2" t="str">
        <f>HYPERLINK("https://www.nba.com/stats/events?CFID=&amp;CFPARAMS=&amp;GameEventID=101&amp;GameID=0022000660&amp;Season=2020-21&amp;flag=1&amp;title=M.%20Morris%20Sr.%203PT%20%20(13%20PTS)%20(K.%20Leonard%202%20AST)", "M. Morris Sr. 3PT  (13 PTS) (K. Leonard 2 AST)")</f>
        <v>M. Morris Sr. 3PT  (13 PTS) (K. Leonard 2 AST)</v>
      </c>
      <c r="L233" s="2" t="str">
        <f>HYPERLINK("https://www.nba.com/game/...-vs-...-0022000660/play-by-play?watchFullGame=true", "LAC vs ATL - Q1 03:37.00")</f>
        <v>LAC vs ATL - Q1 03:37.00</v>
      </c>
      <c r="M233">
        <v>23.54</v>
      </c>
      <c r="N233">
        <v>8.59</v>
      </c>
      <c r="O233">
        <v>96.74</v>
      </c>
      <c r="P233">
        <v>-234</v>
      </c>
      <c r="Q233">
        <v>28</v>
      </c>
      <c r="R233">
        <v>8</v>
      </c>
      <c r="S233">
        <v>96</v>
      </c>
      <c r="T233" t="s">
        <v>73</v>
      </c>
    </row>
    <row r="234" spans="1:20" x14ac:dyDescent="0.25">
      <c r="A234">
        <v>22000720</v>
      </c>
      <c r="B234" t="s">
        <v>4</v>
      </c>
      <c r="C234" t="s">
        <v>64</v>
      </c>
      <c r="D234">
        <v>17</v>
      </c>
      <c r="E234">
        <v>8</v>
      </c>
      <c r="F234">
        <v>9</v>
      </c>
      <c r="G234">
        <v>1</v>
      </c>
      <c r="H234" s="1">
        <v>4.363425925925926E-3</v>
      </c>
      <c r="I234">
        <v>2020</v>
      </c>
      <c r="J234" t="s">
        <v>59</v>
      </c>
      <c r="K234" s="2" t="str">
        <f>HYPERLINK("https://www.nba.com/stats/events?CFID=&amp;CFPARAMS=&amp;GameEventID=56&amp;GameID=0022000720&amp;Season=2020-21&amp;flag=1&amp;title=N.%20Batum%20driving%20finger%20roll%20Layup%20(2%20PTS)%20(K.%20Leonard%202%20AST)", "N. Batum driving finger roll Layup (2 PTS) (K. Leonard 2 AST)")</f>
        <v>N. Batum driving finger roll Layup (2 PTS) (K. Leonard 2 AST)</v>
      </c>
      <c r="L234" s="2" t="str">
        <f>HYPERLINK("https://www.nba.com/game/...-vs-...-0022000720/play-by-play?watchFullGame=true", "LAC vs ORL - Q1 06:17.00")</f>
        <v>LAC vs ORL - Q1 06:17.00</v>
      </c>
      <c r="M234">
        <v>3.21</v>
      </c>
      <c r="N234">
        <v>8.89</v>
      </c>
      <c r="O234">
        <v>48.35</v>
      </c>
      <c r="P234">
        <v>8</v>
      </c>
      <c r="Q234">
        <v>31</v>
      </c>
      <c r="R234">
        <v>8</v>
      </c>
      <c r="S234">
        <v>48</v>
      </c>
      <c r="T234" t="s">
        <v>73</v>
      </c>
    </row>
    <row r="235" spans="1:20" x14ac:dyDescent="0.25">
      <c r="A235">
        <v>22400889</v>
      </c>
      <c r="B235" t="s">
        <v>4</v>
      </c>
      <c r="C235" t="s">
        <v>64</v>
      </c>
      <c r="D235">
        <v>82</v>
      </c>
      <c r="E235">
        <v>61</v>
      </c>
      <c r="F235">
        <v>21</v>
      </c>
      <c r="G235">
        <v>3</v>
      </c>
      <c r="H235" s="1">
        <v>3.8888888888888888E-3</v>
      </c>
      <c r="I235">
        <v>2024</v>
      </c>
      <c r="J235" t="s">
        <v>59</v>
      </c>
      <c r="K235" s="2" t="str">
        <f>HYPERLINK("https://www.nba.com/stats/events?CFID=&amp;CFPARAMS=&amp;GameEventID=364&amp;GameID=0022400889&amp;Season=2024-25&amp;flag=1&amp;title=I.%20Zubac%20cutting%20Layup%20(23%20PTS)%20(K.%20Leonard%203%20AST)", "I. Zubac cutting Layup (23 PTS) (K. Leonard 3 AST)")</f>
        <v>I. Zubac cutting Layup (23 PTS) (K. Leonard 3 AST)</v>
      </c>
      <c r="L235" s="2" t="str">
        <f>HYPERLINK("https://www.nba.com/game/...-vs-...-0022400889/play-by-play?watchFullGame=true", "LAC vs PHX - Q3 05:36.00")</f>
        <v>LAC vs PHX - Q3 05:36.00</v>
      </c>
      <c r="M235">
        <v>4.47</v>
      </c>
      <c r="N235">
        <v>8.2799999999999994</v>
      </c>
      <c r="O235">
        <v>42.62</v>
      </c>
      <c r="P235">
        <v>37</v>
      </c>
      <c r="Q235">
        <v>25</v>
      </c>
      <c r="R235">
        <v>8</v>
      </c>
      <c r="S235">
        <v>42</v>
      </c>
      <c r="T235" t="s">
        <v>73</v>
      </c>
    </row>
    <row r="236" spans="1:20" x14ac:dyDescent="0.25">
      <c r="A236">
        <v>41900236</v>
      </c>
      <c r="B236" t="s">
        <v>4</v>
      </c>
      <c r="C236" t="s">
        <v>69</v>
      </c>
      <c r="D236">
        <v>30</v>
      </c>
      <c r="E236">
        <v>20</v>
      </c>
      <c r="F236">
        <v>10</v>
      </c>
      <c r="G236">
        <v>1</v>
      </c>
      <c r="H236" s="1">
        <v>1.3078703703703703E-3</v>
      </c>
      <c r="I236" t="s">
        <v>62</v>
      </c>
      <c r="J236" t="s">
        <v>59</v>
      </c>
      <c r="K236" s="2" t="str">
        <f>HYPERLINK("https://www.nba.com/stats/events?CFID=&amp;CFPARAMS=&amp;GameEventID=134&amp;GameID=0041900236&amp;Season=2019-20&amp;flag=1&amp;title=J.%20Green%20layup%20(4%20PTS)%20(K.%20Leonard%202%20AST)", "J. Green layup (4 PTS) (K. Leonard 2 AST)")</f>
        <v>J. Green layup (4 PTS) (K. Leonard 2 AST)</v>
      </c>
      <c r="L236" s="2" t="str">
        <f>HYPERLINK("https://www.nba.com/game/...-vs-...-0041900236/play-by-play?watchFullGame=true", "LAC vs DEN - Q1 01:53.00")</f>
        <v>LAC vs DEN - Q1 01:53.00</v>
      </c>
      <c r="M236">
        <v>3.65</v>
      </c>
      <c r="N236">
        <v>8.89</v>
      </c>
      <c r="O236">
        <v>50.07</v>
      </c>
      <c r="P236">
        <v>8</v>
      </c>
      <c r="Q236">
        <v>31</v>
      </c>
      <c r="R236">
        <v>8</v>
      </c>
      <c r="S236">
        <v>50</v>
      </c>
      <c r="T236" t="s">
        <v>73</v>
      </c>
    </row>
    <row r="237" spans="1:20" x14ac:dyDescent="0.25">
      <c r="A237">
        <v>22000077</v>
      </c>
      <c r="B237" t="s">
        <v>4</v>
      </c>
      <c r="C237" t="s">
        <v>65</v>
      </c>
      <c r="D237">
        <v>28</v>
      </c>
      <c r="E237">
        <v>40</v>
      </c>
      <c r="F237">
        <v>12</v>
      </c>
      <c r="G237">
        <v>2</v>
      </c>
      <c r="H237" s="1">
        <v>4.7569444444444447E-3</v>
      </c>
      <c r="I237">
        <v>2020</v>
      </c>
      <c r="J237" t="s">
        <v>59</v>
      </c>
      <c r="K237" s="2" t="str">
        <f>HYPERLINK("https://www.nba.com/stats/events?CFID=&amp;CFPARAMS=&amp;GameEventID=257&amp;GameID=0022000077&amp;Season=2020-21&amp;flag=1&amp;title=Ibaka%20driving%20DUNK%20(5%20PTS)%20(K.%20Leonard%203%20AST)", "S. Ibaka driving DUNK (5 PTS) (K. Leonard 3 AST)")</f>
        <v>S. Ibaka driving DUNK (5 PTS) (K. Leonard 3 AST)</v>
      </c>
      <c r="L237" s="2" t="str">
        <f>HYPERLINK("https://www.nba.com/game/...-vs-...-0022000077/play-by-play?watchFullGame=true", "LAC vs UTA - Q2 06:51.00")</f>
        <v>LAC vs UTA - Q2 06:51.00</v>
      </c>
      <c r="M237">
        <v>2.5</v>
      </c>
      <c r="N237">
        <v>8.23</v>
      </c>
      <c r="O237">
        <v>49.58</v>
      </c>
      <c r="P237">
        <v>2</v>
      </c>
      <c r="Q237">
        <v>25</v>
      </c>
      <c r="R237">
        <v>8</v>
      </c>
      <c r="S237">
        <v>49</v>
      </c>
      <c r="T237" t="s">
        <v>73</v>
      </c>
    </row>
    <row r="238" spans="1:20" x14ac:dyDescent="0.25">
      <c r="A238">
        <v>22300024</v>
      </c>
      <c r="B238" t="s">
        <v>10</v>
      </c>
      <c r="C238" t="s">
        <v>9</v>
      </c>
      <c r="D238">
        <v>73</v>
      </c>
      <c r="E238">
        <v>76</v>
      </c>
      <c r="F238">
        <v>3</v>
      </c>
      <c r="G238">
        <v>3</v>
      </c>
      <c r="H238" s="1">
        <v>2.4189814814814816E-3</v>
      </c>
      <c r="I238">
        <v>2023</v>
      </c>
      <c r="J238" t="s">
        <v>59</v>
      </c>
      <c r="K238" s="2" t="str">
        <f>HYPERLINK("https://www.nba.com/stats/events?CFID=&amp;CFPARAMS=&amp;GameEventID=421&amp;GameID=0022300024&amp;Season=2023-24&amp;flag=1&amp;title=P.%20Tucker%203PT%20%20(3%20PTS)%20(K.%20Leonard%202%20AST)", "P. Tucker 3PT  (3 PTS) (K. Leonard 2 AST)")</f>
        <v>P. Tucker 3PT  (3 PTS) (K. Leonard 2 AST)</v>
      </c>
      <c r="L238" s="2" t="str">
        <f>HYPERLINK("https://www.nba.com/game/...-vs-...-0022300024/play-by-play?watchFullGame=true", "LAC vs DEN - Q3 03:29.00")</f>
        <v>LAC vs DEN - Q3 03:29.00</v>
      </c>
      <c r="M238">
        <v>22.67</v>
      </c>
      <c r="N238">
        <v>8.1</v>
      </c>
      <c r="O238">
        <v>4.9000000000000004</v>
      </c>
      <c r="P238">
        <v>225</v>
      </c>
      <c r="Q238">
        <v>24</v>
      </c>
      <c r="R238">
        <v>8</v>
      </c>
      <c r="S238">
        <v>4</v>
      </c>
      <c r="T238" t="s">
        <v>73</v>
      </c>
    </row>
    <row r="239" spans="1:20" x14ac:dyDescent="0.25">
      <c r="A239">
        <v>22000660</v>
      </c>
      <c r="B239" t="s">
        <v>4</v>
      </c>
      <c r="C239" t="s">
        <v>64</v>
      </c>
      <c r="D239">
        <v>23</v>
      </c>
      <c r="E239">
        <v>15</v>
      </c>
      <c r="F239">
        <v>8</v>
      </c>
      <c r="G239">
        <v>1</v>
      </c>
      <c r="H239" s="1">
        <v>2.8935185185185184E-3</v>
      </c>
      <c r="I239">
        <v>2020</v>
      </c>
      <c r="J239" t="s">
        <v>59</v>
      </c>
      <c r="K239" s="2" t="str">
        <f>HYPERLINK("https://www.nba.com/stats/events?CFID=&amp;CFPARAMS=&amp;GameEventID=97&amp;GameID=0022000660&amp;Season=2020-21&amp;flag=1&amp;title=I.%20Zubac%20Layup%20(8%20PTS)%20(K.%20Leonard%201%20AST)", "I. Zubac Layup (8 PTS) (K. Leonard 1 AST)")</f>
        <v>I. Zubac Layup (8 PTS) (K. Leonard 1 AST)</v>
      </c>
      <c r="L239" s="2" t="str">
        <f>HYPERLINK("https://www.nba.com/game/...-vs-...-0022000660/play-by-play?watchFullGame=true", "LAC vs ATL - Q1 04:10.00")</f>
        <v>LAC vs ATL - Q1 04:10.00</v>
      </c>
      <c r="M239">
        <v>2.4700000000000002</v>
      </c>
      <c r="N239">
        <v>8.1999999999999993</v>
      </c>
      <c r="O239">
        <v>49.44</v>
      </c>
      <c r="P239">
        <v>3</v>
      </c>
      <c r="Q239">
        <v>25</v>
      </c>
      <c r="R239">
        <v>8</v>
      </c>
      <c r="S239">
        <v>49</v>
      </c>
      <c r="T239" t="s">
        <v>73</v>
      </c>
    </row>
    <row r="240" spans="1:20" x14ac:dyDescent="0.25">
      <c r="A240">
        <v>22300325</v>
      </c>
      <c r="B240" t="s">
        <v>10</v>
      </c>
      <c r="C240" t="s">
        <v>9</v>
      </c>
      <c r="D240">
        <v>63</v>
      </c>
      <c r="E240">
        <v>50</v>
      </c>
      <c r="F240">
        <v>13</v>
      </c>
      <c r="G240">
        <v>2</v>
      </c>
      <c r="H240" s="1">
        <v>1.4699074074074074E-3</v>
      </c>
      <c r="I240">
        <v>2023</v>
      </c>
      <c r="J240" t="s">
        <v>59</v>
      </c>
      <c r="K240" s="2" t="str">
        <f>HYPERLINK("https://www.nba.com/stats/events?CFID=&amp;CFPARAMS=&amp;GameEventID=320&amp;GameID=0022300325&amp;Season=2023-24&amp;flag=1&amp;title=A.%20Coffey%203PT%20%20(6%20PTS)%20(K.%20Leonard%201%20AST)", "A. Coffey 3PT  (6 PTS) (K. Leonard 1 AST)")</f>
        <v>A. Coffey 3PT  (6 PTS) (K. Leonard 1 AST)</v>
      </c>
      <c r="L240" s="2" t="str">
        <f>HYPERLINK("https://www.nba.com/game/...-vs-...-0022300325/play-by-play?watchFullGame=true", "LAC vs GSW - Q2 02:07.00")</f>
        <v>LAC vs GSW - Q2 02:07.00</v>
      </c>
      <c r="M240">
        <v>22.86</v>
      </c>
      <c r="N240">
        <v>8.7200000000000006</v>
      </c>
      <c r="O240">
        <v>95.34</v>
      </c>
      <c r="P240">
        <v>-227</v>
      </c>
      <c r="Q240">
        <v>29</v>
      </c>
      <c r="R240">
        <v>8</v>
      </c>
      <c r="S240">
        <v>95</v>
      </c>
      <c r="T240" t="s">
        <v>73</v>
      </c>
    </row>
    <row r="241" spans="1:20" x14ac:dyDescent="0.25">
      <c r="A241">
        <v>42000222</v>
      </c>
      <c r="B241" t="s">
        <v>4</v>
      </c>
      <c r="C241" t="s">
        <v>65</v>
      </c>
      <c r="D241">
        <v>6</v>
      </c>
      <c r="E241">
        <v>12</v>
      </c>
      <c r="F241">
        <v>6</v>
      </c>
      <c r="G241">
        <v>1</v>
      </c>
      <c r="H241" s="1">
        <v>5.8680555555555552E-3</v>
      </c>
      <c r="I241" t="s">
        <v>71</v>
      </c>
      <c r="J241" t="s">
        <v>59</v>
      </c>
      <c r="K241" s="2" t="str">
        <f>HYPERLINK("https://www.nba.com/stats/events?CFID=&amp;CFPARAMS=&amp;GameEventID=32&amp;GameID=0042000222&amp;Season=2020-21&amp;flag=1&amp;title=I.%20Zubac%20cutting%20DUNK%20(2%20PTS)%20(K.%20Leonard%201%20AST)", "I. Zubac cutting DUNK (2 PTS) (K. Leonard 1 AST)")</f>
        <v>I. Zubac cutting DUNK (2 PTS) (K. Leonard 1 AST)</v>
      </c>
      <c r="L241" s="2" t="str">
        <f>HYPERLINK("https://www.nba.com/game/...-vs-...-0042000222/play-by-play?watchFullGame=true", "LAC vs UTA - Q1 08:27.00")</f>
        <v>LAC vs UTA - Q1 08:27.00</v>
      </c>
      <c r="M241">
        <v>3.04</v>
      </c>
      <c r="N241">
        <v>8.36</v>
      </c>
      <c r="O241">
        <v>46.88</v>
      </c>
      <c r="P241">
        <v>8</v>
      </c>
      <c r="Q241">
        <v>46</v>
      </c>
      <c r="R241">
        <v>8</v>
      </c>
      <c r="S241">
        <v>46</v>
      </c>
      <c r="T241" t="s">
        <v>73</v>
      </c>
    </row>
    <row r="242" spans="1:20" x14ac:dyDescent="0.25">
      <c r="A242">
        <v>21900458</v>
      </c>
      <c r="B242" t="s">
        <v>4</v>
      </c>
      <c r="C242" t="s">
        <v>61</v>
      </c>
      <c r="D242">
        <v>12</v>
      </c>
      <c r="E242">
        <v>10</v>
      </c>
      <c r="F242">
        <v>2</v>
      </c>
      <c r="G242">
        <v>1</v>
      </c>
      <c r="H242" s="1">
        <v>5.2546296296296299E-3</v>
      </c>
      <c r="I242">
        <v>2019</v>
      </c>
      <c r="J242" t="s">
        <v>59</v>
      </c>
      <c r="K242" s="2" t="str">
        <f>HYPERLINK("https://www.nba.com/stats/events?CFID=&amp;CFPARAMS=&amp;GameEventID=48&amp;GameID=0021900458&amp;Season=2019-20&amp;flag=1&amp;title=P.%20Patterson%20jumpshot%20(2%20PTS)%20(K.%20Leonard%201%20AST)", "P. Patterson jumpshot (2 PTS) (K. Leonard 1 AST)")</f>
        <v>P. Patterson jumpshot (2 PTS) (K. Leonard 1 AST)</v>
      </c>
      <c r="L242" s="2" t="str">
        <f>HYPERLINK("https://www.nba.com/game/...-vs-...-0021900458/play-by-play?watchFullGame=true", "LAC vs LAL - Q1 07:34.00")</f>
        <v>LAC vs LAL - Q1 07:34.00</v>
      </c>
      <c r="M242">
        <v>4.9000000000000004</v>
      </c>
      <c r="N242">
        <v>9.25</v>
      </c>
      <c r="O242">
        <v>44.29</v>
      </c>
      <c r="P242">
        <v>29</v>
      </c>
      <c r="Q242">
        <v>34</v>
      </c>
      <c r="R242">
        <v>9</v>
      </c>
      <c r="S242">
        <v>44</v>
      </c>
      <c r="T242" t="s">
        <v>73</v>
      </c>
    </row>
    <row r="243" spans="1:20" x14ac:dyDescent="0.25">
      <c r="A243">
        <v>22000130</v>
      </c>
      <c r="B243" t="s">
        <v>4</v>
      </c>
      <c r="C243" t="s">
        <v>64</v>
      </c>
      <c r="D243">
        <v>55</v>
      </c>
      <c r="E243">
        <v>44</v>
      </c>
      <c r="F243">
        <v>11</v>
      </c>
      <c r="G243">
        <v>2</v>
      </c>
      <c r="H243" s="1">
        <v>1.6087962962962963E-3</v>
      </c>
      <c r="I243">
        <v>2020</v>
      </c>
      <c r="J243" t="s">
        <v>59</v>
      </c>
      <c r="K243" s="2" t="str">
        <f>HYPERLINK("https://www.nba.com/stats/events?CFID=&amp;CFPARAMS=&amp;GameEventID=281&amp;GameID=0022000130&amp;Season=2020-21&amp;flag=1&amp;title=P.%20George%20running%20Layup%20(14%20PTS)%20(K.%20Leonard%203%20AST)", "P. George running Layup (14 PTS) (K. Leonard 3 AST)")</f>
        <v>P. George running Layup (14 PTS) (K. Leonard 3 AST)</v>
      </c>
      <c r="L243" s="2" t="str">
        <f>HYPERLINK("https://www.nba.com/game/...-vs-...-0022000130/play-by-play?watchFullGame=true", "LAC vs GSW - Q2 02:19.00")</f>
        <v>LAC vs GSW - Q2 02:19.00</v>
      </c>
      <c r="M243">
        <v>4.2300000000000004</v>
      </c>
      <c r="N243">
        <v>9.2799999999999994</v>
      </c>
      <c r="O243">
        <v>45.17</v>
      </c>
      <c r="P243">
        <v>24</v>
      </c>
      <c r="Q243">
        <v>35</v>
      </c>
      <c r="R243">
        <v>9</v>
      </c>
      <c r="S243">
        <v>45</v>
      </c>
      <c r="T243" t="s">
        <v>73</v>
      </c>
    </row>
    <row r="244" spans="1:20" x14ac:dyDescent="0.25">
      <c r="A244">
        <v>22000202</v>
      </c>
      <c r="B244" t="s">
        <v>10</v>
      </c>
      <c r="C244" t="s">
        <v>9</v>
      </c>
      <c r="D244">
        <v>66</v>
      </c>
      <c r="E244">
        <v>61</v>
      </c>
      <c r="F244">
        <v>5</v>
      </c>
      <c r="G244">
        <v>3</v>
      </c>
      <c r="H244" s="1">
        <v>6.9328703703703705E-3</v>
      </c>
      <c r="I244">
        <v>2020</v>
      </c>
      <c r="J244" t="s">
        <v>59</v>
      </c>
      <c r="K244" s="2" t="str">
        <f>HYPERLINK("https://www.nba.com/stats/events?CFID=&amp;CFPARAMS=&amp;GameEventID=330&amp;GameID=0022000202&amp;Season=2020-21&amp;flag=1&amp;title=N.%20Batum%203PT%20%20(10%20PTS)%20(K.%20Leonard%202%20AST)", "N. Batum 3PT  (10 PTS) (K. Leonard 2 AST)")</f>
        <v>N. Batum 3PT  (10 PTS) (K. Leonard 2 AST)</v>
      </c>
      <c r="L244" s="2" t="str">
        <f>HYPERLINK("https://www.nba.com/game/...-vs-...-0022000202/play-by-play?watchFullGame=true", "LAC vs IND - Q3 09:59.00")</f>
        <v>LAC vs IND - Q3 09:59.00</v>
      </c>
      <c r="M244">
        <v>23.26</v>
      </c>
      <c r="N244">
        <v>9.2799999999999994</v>
      </c>
      <c r="O244">
        <v>3.99</v>
      </c>
      <c r="P244">
        <v>230</v>
      </c>
      <c r="Q244">
        <v>35</v>
      </c>
      <c r="R244">
        <v>9</v>
      </c>
      <c r="S244">
        <v>3</v>
      </c>
      <c r="T244" t="s">
        <v>73</v>
      </c>
    </row>
    <row r="245" spans="1:20" x14ac:dyDescent="0.25">
      <c r="A245">
        <v>22300037</v>
      </c>
      <c r="B245" t="s">
        <v>4</v>
      </c>
      <c r="C245" t="s">
        <v>64</v>
      </c>
      <c r="D245">
        <v>45</v>
      </c>
      <c r="E245">
        <v>50</v>
      </c>
      <c r="F245">
        <v>5</v>
      </c>
      <c r="G245">
        <v>2</v>
      </c>
      <c r="H245" s="1">
        <v>1.1921296296296296E-3</v>
      </c>
      <c r="I245">
        <v>2023</v>
      </c>
      <c r="J245" t="s">
        <v>59</v>
      </c>
      <c r="K245" s="2" t="str">
        <f>HYPERLINK("https://www.nba.com/stats/events?CFID=&amp;CFPARAMS=&amp;GameEventID=308&amp;GameID=0022300037&amp;Season=2023-24&amp;flag=1&amp;title=I.%20Zubac%20Layup%20(4%20PTS)%20(K.%20Leonard%201%20AST)", "I. Zubac Layup (4 PTS) (K. Leonard 1 AST)")</f>
        <v>I. Zubac Layup (4 PTS) (K. Leonard 1 AST)</v>
      </c>
      <c r="L245" s="2" t="str">
        <f>HYPERLINK("https://www.nba.com/game/...-vs-...-0022300037/play-by-play?watchFullGame=true", "LAC vs HOU - Q2 01:43.00")</f>
        <v>LAC vs HOU - Q2 01:43.00</v>
      </c>
      <c r="M245">
        <v>4.4800000000000004</v>
      </c>
      <c r="N245">
        <v>9.3800000000000008</v>
      </c>
      <c r="O245">
        <v>44.61</v>
      </c>
      <c r="P245">
        <v>27</v>
      </c>
      <c r="Q245">
        <v>36</v>
      </c>
      <c r="R245">
        <v>9</v>
      </c>
      <c r="S245">
        <v>44</v>
      </c>
      <c r="T245" t="s">
        <v>73</v>
      </c>
    </row>
    <row r="246" spans="1:20" x14ac:dyDescent="0.25">
      <c r="A246">
        <v>22000867</v>
      </c>
      <c r="B246" t="s">
        <v>4</v>
      </c>
      <c r="C246" t="s">
        <v>9</v>
      </c>
      <c r="D246">
        <v>83</v>
      </c>
      <c r="E246">
        <v>59</v>
      </c>
      <c r="F246">
        <v>24</v>
      </c>
      <c r="G246">
        <v>3</v>
      </c>
      <c r="H246" s="1">
        <v>5.7986111111111112E-3</v>
      </c>
      <c r="I246">
        <v>2020</v>
      </c>
      <c r="J246" t="s">
        <v>59</v>
      </c>
      <c r="K246" s="2" t="str">
        <f>HYPERLINK("https://www.nba.com/stats/events?CFID=&amp;CFPARAMS=&amp;GameEventID=394&amp;GameID=0022000867&amp;Season=2020-21&amp;flag=1&amp;title=P.%20George%2015'%20Jump%20Shot%20(20%20PTS)%20(K.%20Leonard%207%20AST)", "P. George 15' Jump Shot (20 PTS) (K. Leonard 7 AST)")</f>
        <v>P. George 15' Jump Shot (20 PTS) (K. Leonard 7 AST)</v>
      </c>
      <c r="L246" s="2" t="str">
        <f>HYPERLINK("https://www.nba.com/game/...-vs-...-0022000867/play-by-play?watchFullGame=true", "LAC vs MIN - Q3 08:21.00")</f>
        <v>LAC vs MIN - Q3 08:21.00</v>
      </c>
      <c r="M246">
        <v>15.65</v>
      </c>
      <c r="N246">
        <v>9.94</v>
      </c>
      <c r="O246">
        <v>80.22</v>
      </c>
      <c r="P246">
        <v>-151</v>
      </c>
      <c r="Q246">
        <v>41</v>
      </c>
      <c r="R246">
        <v>9</v>
      </c>
      <c r="S246">
        <v>80</v>
      </c>
      <c r="T246" t="s">
        <v>73</v>
      </c>
    </row>
    <row r="247" spans="1:20" x14ac:dyDescent="0.25">
      <c r="A247">
        <v>22200509</v>
      </c>
      <c r="B247" t="s">
        <v>10</v>
      </c>
      <c r="C247" t="s">
        <v>9</v>
      </c>
      <c r="D247">
        <v>124</v>
      </c>
      <c r="E247">
        <v>109</v>
      </c>
      <c r="F247">
        <v>15</v>
      </c>
      <c r="G247">
        <v>4</v>
      </c>
      <c r="H247" s="1">
        <v>1.1574074074074073E-3</v>
      </c>
      <c r="I247">
        <v>2022</v>
      </c>
      <c r="J247" t="s">
        <v>59</v>
      </c>
      <c r="K247" s="2" t="str">
        <f>HYPERLINK("https://www.nba.com/stats/events?CFID=&amp;CFPARAMS=&amp;GameEventID=624&amp;GameID=0022200509&amp;Season=2022-23&amp;flag=1&amp;title=N.%20Batum%203PT%20%20(9%20PTS)%20(K.%20Leonard%208%20AST)", "N. Batum 3PT  (9 PTS) (K. Leonard 8 AST)")</f>
        <v>N. Batum 3PT  (9 PTS) (K. Leonard 8 AST)</v>
      </c>
      <c r="L247" s="2" t="str">
        <f>HYPERLINK("https://www.nba.com/game/...-vs-...-0022200509/play-by-play?watchFullGame=true", "LAC vs TOR - Q4 01:40.00")</f>
        <v>LAC vs TOR - Q4 01:40.00</v>
      </c>
      <c r="M247">
        <v>23.28</v>
      </c>
      <c r="N247">
        <v>9.94</v>
      </c>
      <c r="O247">
        <v>95.83</v>
      </c>
      <c r="P247">
        <v>-229</v>
      </c>
      <c r="Q247">
        <v>41</v>
      </c>
      <c r="R247">
        <v>9</v>
      </c>
      <c r="S247">
        <v>95</v>
      </c>
      <c r="T247" t="s">
        <v>73</v>
      </c>
    </row>
    <row r="248" spans="1:20" x14ac:dyDescent="0.25">
      <c r="A248">
        <v>22000472</v>
      </c>
      <c r="B248" t="s">
        <v>4</v>
      </c>
      <c r="C248" t="s">
        <v>70</v>
      </c>
      <c r="D248">
        <v>65</v>
      </c>
      <c r="E248">
        <v>71</v>
      </c>
      <c r="F248">
        <v>6</v>
      </c>
      <c r="G248">
        <v>3</v>
      </c>
      <c r="H248" s="1">
        <v>5.2893518518518515E-3</v>
      </c>
      <c r="I248">
        <v>2020</v>
      </c>
      <c r="J248" t="s">
        <v>59</v>
      </c>
      <c r="K248" s="2" t="str">
        <f>HYPERLINK("https://www.nba.com/stats/events?CFID=&amp;CFPARAMS=&amp;GameEventID=364&amp;GameID=0022000472&amp;Season=2020-21&amp;flag=1&amp;title=Ibaka%20turnaround%20Hook%20(6%20PTS)%20(K.%20Leonard%202%20AST)", "S. Ibaka turnaround Hook (6 PTS) (K. Leonard 2 AST)")</f>
        <v>S. Ibaka turnaround Hook (6 PTS) (K. Leonard 2 AST)</v>
      </c>
      <c r="L248" s="2" t="str">
        <f>HYPERLINK("https://www.nba.com/game/...-vs-...-0022000472/play-by-play?watchFullGame=true", "LAC vs BKN - Q3 07:37.00")</f>
        <v>LAC vs BKN - Q3 07:37.00</v>
      </c>
      <c r="M248">
        <v>3.8</v>
      </c>
      <c r="N248">
        <v>9.02</v>
      </c>
      <c r="O248">
        <v>53.99</v>
      </c>
      <c r="P248">
        <v>-20</v>
      </c>
      <c r="Q248">
        <v>32</v>
      </c>
      <c r="R248">
        <v>9</v>
      </c>
      <c r="S248">
        <v>53</v>
      </c>
      <c r="T248" t="s">
        <v>73</v>
      </c>
    </row>
    <row r="249" spans="1:20" x14ac:dyDescent="0.25">
      <c r="A249">
        <v>22200239</v>
      </c>
      <c r="B249" t="s">
        <v>10</v>
      </c>
      <c r="C249" t="s">
        <v>9</v>
      </c>
      <c r="D249">
        <v>67</v>
      </c>
      <c r="E249">
        <v>50</v>
      </c>
      <c r="F249">
        <v>17</v>
      </c>
      <c r="G249">
        <v>3</v>
      </c>
      <c r="H249" s="1">
        <v>7.6041666666666671E-3</v>
      </c>
      <c r="I249">
        <v>2022</v>
      </c>
      <c r="J249" t="s">
        <v>59</v>
      </c>
      <c r="K249" s="2" t="str">
        <f>HYPERLINK("https://www.nba.com/stats/events?CFID=&amp;CFPARAMS=&amp;GameEventID=325&amp;GameID=0022200239&amp;Season=2022-23&amp;flag=1&amp;title=M.%20Morris%20Sr.%2024'%203PT%20%20(8%20PTS)%20(K.%20Leonard%203%20AST)", "M. Morris Sr. 24' 3PT  (8 PTS) (K. Leonard 3 AST)")</f>
        <v>M. Morris Sr. 24' 3PT  (8 PTS) (K. Leonard 3 AST)</v>
      </c>
      <c r="L249" s="2" t="str">
        <f>HYPERLINK("https://www.nba.com/game/...-vs-...-0022200239/play-by-play?watchFullGame=true", "LAC vs SAS - Q3 10:57.00")</f>
        <v>LAC vs SAS - Q3 10:57.00</v>
      </c>
      <c r="M249">
        <v>24.52</v>
      </c>
      <c r="N249">
        <v>9.3800000000000008</v>
      </c>
      <c r="O249">
        <v>1.47</v>
      </c>
      <c r="P249">
        <v>243</v>
      </c>
      <c r="Q249">
        <v>36</v>
      </c>
      <c r="R249">
        <v>9</v>
      </c>
      <c r="S249">
        <v>1</v>
      </c>
      <c r="T249" t="s">
        <v>73</v>
      </c>
    </row>
    <row r="250" spans="1:20" x14ac:dyDescent="0.25">
      <c r="A250">
        <v>22301215</v>
      </c>
      <c r="B250" t="s">
        <v>4</v>
      </c>
      <c r="C250" t="s">
        <v>70</v>
      </c>
      <c r="D250">
        <v>72</v>
      </c>
      <c r="E250">
        <v>74</v>
      </c>
      <c r="F250">
        <v>2</v>
      </c>
      <c r="G250">
        <v>3</v>
      </c>
      <c r="H250" s="1">
        <v>4.5254629629629629E-3</v>
      </c>
      <c r="I250">
        <v>2023</v>
      </c>
      <c r="J250" t="s">
        <v>59</v>
      </c>
      <c r="K250" s="2" t="str">
        <f>HYPERLINK("https://www.nba.com/stats/events?CFID=&amp;CFPARAMS=&amp;GameEventID=379&amp;GameID=0022301215&amp;Season=2023-24&amp;flag=1&amp;title=I.%20Zubac%20Hook%20(8%20PTS)%20(K.%20Leonard%205%20AST)", "I. Zubac Hook (8 PTS) (K. Leonard 5 AST)")</f>
        <v>I. Zubac Hook (8 PTS) (K. Leonard 5 AST)</v>
      </c>
      <c r="L250" s="2" t="str">
        <f>HYPERLINK("https://www.nba.com/game/...-vs-...-0022301215/play-by-play?watchFullGame=true", "LAC vs DEN - Q3 06:31.00")</f>
        <v>LAC vs DEN - Q3 06:31.00</v>
      </c>
      <c r="M250">
        <v>4.18</v>
      </c>
      <c r="N250">
        <v>9.9</v>
      </c>
      <c r="O250">
        <v>48.04</v>
      </c>
      <c r="P250">
        <v>10</v>
      </c>
      <c r="Q250">
        <v>41</v>
      </c>
      <c r="R250">
        <v>9</v>
      </c>
      <c r="S250">
        <v>48</v>
      </c>
      <c r="T250" t="s">
        <v>73</v>
      </c>
    </row>
    <row r="251" spans="1:20" x14ac:dyDescent="0.25">
      <c r="A251">
        <v>22400859</v>
      </c>
      <c r="B251" t="s">
        <v>4</v>
      </c>
      <c r="C251" t="s">
        <v>70</v>
      </c>
      <c r="D251">
        <v>85</v>
      </c>
      <c r="E251">
        <v>90</v>
      </c>
      <c r="F251">
        <v>5</v>
      </c>
      <c r="G251">
        <v>4</v>
      </c>
      <c r="H251" s="1">
        <v>6.1111111111111114E-3</v>
      </c>
      <c r="I251">
        <v>2024</v>
      </c>
      <c r="J251" t="s">
        <v>59</v>
      </c>
      <c r="K251" s="2" t="str">
        <f>HYPERLINK("https://www.nba.com/stats/events?CFID=&amp;CFPARAMS=&amp;GameEventID=501&amp;GameID=0022400859&amp;Season=2024-25&amp;flag=1&amp;title=I.%20Zubac%206'%20driving%20Hook%20(19%20PTS)%20(K.%20Leonard%203%20AST)", "I. Zubac 6' driving Hook (19 PTS) (K. Leonard 3 AST)")</f>
        <v>I. Zubac 6' driving Hook (19 PTS) (K. Leonard 3 AST)</v>
      </c>
      <c r="L251" s="2" t="str">
        <f>HYPERLINK("https://www.nba.com/game/...-vs-...-0022400859/play-by-play?watchFullGame=true", "LAC vs LAL - Q4 08:48.00")</f>
        <v>LAC vs LAL - Q4 08:48.00</v>
      </c>
      <c r="M251">
        <v>6.02</v>
      </c>
      <c r="N251">
        <v>9.4600000000000009</v>
      </c>
      <c r="O251">
        <v>40.42</v>
      </c>
      <c r="P251">
        <v>48</v>
      </c>
      <c r="Q251">
        <v>36</v>
      </c>
      <c r="R251">
        <v>9</v>
      </c>
      <c r="S251">
        <v>40</v>
      </c>
      <c r="T251" t="s">
        <v>73</v>
      </c>
    </row>
    <row r="252" spans="1:20" x14ac:dyDescent="0.25">
      <c r="A252">
        <v>22300304</v>
      </c>
      <c r="B252" t="s">
        <v>10</v>
      </c>
      <c r="C252" t="s">
        <v>9</v>
      </c>
      <c r="D252">
        <v>69</v>
      </c>
      <c r="E252">
        <v>71</v>
      </c>
      <c r="F252">
        <v>2</v>
      </c>
      <c r="G252">
        <v>3</v>
      </c>
      <c r="H252" s="1">
        <v>7.1990740740740739E-3</v>
      </c>
      <c r="I252">
        <v>2023</v>
      </c>
      <c r="J252" t="s">
        <v>59</v>
      </c>
      <c r="K252" s="2" t="str">
        <f>HYPERLINK("https://www.nba.com/stats/events?CFID=&amp;CFPARAMS=&amp;GameEventID=328&amp;GameID=0022300304&amp;Season=2023-24&amp;flag=1&amp;title=J.%20Harden%203PT%20%20(12%20PTS)%20(K.%20Leonard%204%20AST)", "J. Harden 3PT  (12 PTS) (K. Leonard 4 AST)")</f>
        <v>J. Harden 3PT  (12 PTS) (K. Leonard 4 AST)</v>
      </c>
      <c r="L252" s="2" t="str">
        <f>HYPERLINK("https://www.nba.com/game/...-vs-...-0022300304/play-by-play?watchFullGame=true", "LAC vs POR - Q3 10:22.00")</f>
        <v>LAC vs POR - Q3 10:22.00</v>
      </c>
      <c r="M252">
        <v>22.6</v>
      </c>
      <c r="N252">
        <v>9.51</v>
      </c>
      <c r="O252">
        <v>5.39</v>
      </c>
      <c r="P252">
        <v>223</v>
      </c>
      <c r="Q252">
        <v>37</v>
      </c>
      <c r="R252">
        <v>9</v>
      </c>
      <c r="S252">
        <v>5</v>
      </c>
      <c r="T252" t="s">
        <v>73</v>
      </c>
    </row>
    <row r="253" spans="1:20" x14ac:dyDescent="0.25">
      <c r="A253">
        <v>22300897</v>
      </c>
      <c r="B253" t="s">
        <v>10</v>
      </c>
      <c r="C253" t="s">
        <v>9</v>
      </c>
      <c r="D253">
        <v>111</v>
      </c>
      <c r="E253">
        <v>109</v>
      </c>
      <c r="F253">
        <v>2</v>
      </c>
      <c r="G253">
        <v>4</v>
      </c>
      <c r="H253" s="1">
        <v>1.9444444444444444E-3</v>
      </c>
      <c r="I253">
        <v>2023</v>
      </c>
      <c r="J253" t="s">
        <v>59</v>
      </c>
      <c r="K253" s="2" t="str">
        <f>HYPERLINK("https://www.nba.com/stats/events?CFID=&amp;CFPARAMS=&amp;GameEventID=570&amp;GameID=0022300897&amp;Season=2023-24&amp;flag=1&amp;title=P.%20George%203PT%20%20(18%20PTS)%20(K.%20Leonard%207%20AST)", "P. George 3PT  (18 PTS) (K. Leonard 7 AST)")</f>
        <v>P. George 3PT  (18 PTS) (K. Leonard 7 AST)</v>
      </c>
      <c r="L253" s="2" t="str">
        <f>HYPERLINK("https://www.nba.com/game/...-vs-...-0022300897/play-by-play?watchFullGame=true", "LAC vs HOU - Q4 02:48.00")</f>
        <v>LAC vs HOU - Q4 02:48.00</v>
      </c>
      <c r="M253">
        <v>23.28</v>
      </c>
      <c r="N253">
        <v>9.94</v>
      </c>
      <c r="O253">
        <v>95.83</v>
      </c>
      <c r="P253">
        <v>-229</v>
      </c>
      <c r="Q253">
        <v>41</v>
      </c>
      <c r="R253">
        <v>9</v>
      </c>
      <c r="S253">
        <v>95</v>
      </c>
      <c r="T253" t="s">
        <v>73</v>
      </c>
    </row>
    <row r="254" spans="1:20" x14ac:dyDescent="0.25">
      <c r="A254">
        <v>22301225</v>
      </c>
      <c r="B254" t="s">
        <v>4</v>
      </c>
      <c r="C254" t="s">
        <v>9</v>
      </c>
      <c r="D254">
        <v>61</v>
      </c>
      <c r="E254">
        <v>46</v>
      </c>
      <c r="F254">
        <v>15</v>
      </c>
      <c r="G254">
        <v>3</v>
      </c>
      <c r="H254" s="1">
        <v>7.9398148148148145E-3</v>
      </c>
      <c r="I254">
        <v>2023</v>
      </c>
      <c r="J254" t="s">
        <v>59</v>
      </c>
      <c r="K254" s="2" t="str">
        <f>HYPERLINK("https://www.nba.com/stats/events?CFID=&amp;CFPARAMS=&amp;GameEventID=346&amp;GameID=0022301225&amp;Season=2023-24&amp;flag=1&amp;title=P.%20George%2015'%20Jump%20Shot%20(4%20PTS)%20(K.%20Leonard%203%20AST)", "P. George 15' Jump Shot (4 PTS) (K. Leonard 3 AST)")</f>
        <v>P. George 15' Jump Shot (4 PTS) (K. Leonard 3 AST)</v>
      </c>
      <c r="L254" s="2" t="str">
        <f>HYPERLINK("https://www.nba.com/game/...-vs-...-0022301225/play-by-play?watchFullGame=true", "LAC vs UTA - Q3 11:26.00")</f>
        <v>LAC vs UTA - Q3 11:26.00</v>
      </c>
      <c r="M254">
        <v>15.77</v>
      </c>
      <c r="N254">
        <v>9.5399999999999991</v>
      </c>
      <c r="O254">
        <v>19.36</v>
      </c>
      <c r="P254">
        <v>153</v>
      </c>
      <c r="Q254">
        <v>37</v>
      </c>
      <c r="R254">
        <v>9</v>
      </c>
      <c r="S254">
        <v>19</v>
      </c>
      <c r="T254" t="s">
        <v>73</v>
      </c>
    </row>
    <row r="255" spans="1:20" x14ac:dyDescent="0.25">
      <c r="A255">
        <v>22300553</v>
      </c>
      <c r="B255" t="s">
        <v>4</v>
      </c>
      <c r="C255" t="s">
        <v>64</v>
      </c>
      <c r="D255">
        <v>43</v>
      </c>
      <c r="E255">
        <v>44</v>
      </c>
      <c r="F255">
        <v>1</v>
      </c>
      <c r="G255">
        <v>2</v>
      </c>
      <c r="H255" s="1">
        <v>7.291666666666667E-4</v>
      </c>
      <c r="I255">
        <v>2023</v>
      </c>
      <c r="J255" t="s">
        <v>59</v>
      </c>
      <c r="K255" s="2" t="str">
        <f>HYPERLINK("https://www.nba.com/stats/events?CFID=&amp;CFPARAMS=&amp;GameEventID=268&amp;GameID=0022300553&amp;Season=2023-24&amp;flag=1&amp;title=R.%20Westbrook%20cutting%20Layup%20(2%20PTS)%20(K.%20Leonard%201%20AST)", "R. Westbrook cutting Layup (2 PTS) (K. Leonard 1 AST)")</f>
        <v>R. Westbrook cutting Layup (2 PTS) (K. Leonard 1 AST)</v>
      </c>
      <c r="L255" s="2" t="str">
        <f>HYPERLINK("https://www.nba.com/game/...-vs-...-0022300553/play-by-play?watchFullGame=true", "LAC vs MIN - Q2 01:03.00")</f>
        <v>LAC vs MIN - Q2 01:03.00</v>
      </c>
      <c r="M255">
        <v>3.41</v>
      </c>
      <c r="N255">
        <v>9.15</v>
      </c>
      <c r="O255">
        <v>51.23</v>
      </c>
      <c r="P255">
        <v>-6</v>
      </c>
      <c r="Q255">
        <v>34</v>
      </c>
      <c r="R255">
        <v>9</v>
      </c>
      <c r="S255">
        <v>51</v>
      </c>
      <c r="T255" t="s">
        <v>73</v>
      </c>
    </row>
    <row r="256" spans="1:20" x14ac:dyDescent="0.25">
      <c r="A256">
        <v>41900153</v>
      </c>
      <c r="B256" t="s">
        <v>4</v>
      </c>
      <c r="C256" t="s">
        <v>69</v>
      </c>
      <c r="D256">
        <v>58</v>
      </c>
      <c r="E256">
        <v>47</v>
      </c>
      <c r="F256">
        <v>11</v>
      </c>
      <c r="G256">
        <v>2</v>
      </c>
      <c r="H256" s="1">
        <v>1.4120370370370369E-3</v>
      </c>
      <c r="I256" t="s">
        <v>68</v>
      </c>
      <c r="J256" t="s">
        <v>59</v>
      </c>
      <c r="K256" s="2" t="str">
        <f>HYPERLINK("https://www.nba.com/stats/events?CFID=&amp;CFPARAMS=&amp;GameEventID=306&amp;GameID=0041900153&amp;Season=2019-20&amp;flag=1&amp;title=L.%20Shamet%20layup%20(8%20PTS)%20(K.%20Leonard%204%20AST)", "L. Shamet layup (8 PTS) (K. Leonard 4 AST)")</f>
        <v>L. Shamet layup (8 PTS) (K. Leonard 4 AST)</v>
      </c>
      <c r="L256" s="2" t="str">
        <f>HYPERLINK("https://www.nba.com/game/...-vs-...-0041900153/play-by-play?watchFullGame=true", "LAC vs DAL - Q2 02:02.00")</f>
        <v>LAC vs DAL - Q2 02:02.00</v>
      </c>
      <c r="M256">
        <v>4.3899999999999997</v>
      </c>
      <c r="N256">
        <v>9.67</v>
      </c>
      <c r="O256">
        <v>49.82</v>
      </c>
      <c r="P256">
        <v>1</v>
      </c>
      <c r="Q256">
        <v>38</v>
      </c>
      <c r="R256">
        <v>9</v>
      </c>
      <c r="S256">
        <v>49</v>
      </c>
      <c r="T256" t="s">
        <v>73</v>
      </c>
    </row>
    <row r="257" spans="1:20" x14ac:dyDescent="0.25">
      <c r="A257">
        <v>22400500</v>
      </c>
      <c r="B257" t="s">
        <v>4</v>
      </c>
      <c r="C257" t="s">
        <v>70</v>
      </c>
      <c r="D257">
        <v>4</v>
      </c>
      <c r="E257">
        <v>3</v>
      </c>
      <c r="F257">
        <v>1</v>
      </c>
      <c r="G257">
        <v>1</v>
      </c>
      <c r="H257" s="1">
        <v>6.2962962962962964E-3</v>
      </c>
      <c r="I257">
        <v>2024</v>
      </c>
      <c r="J257" t="s">
        <v>59</v>
      </c>
      <c r="K257" s="2" t="str">
        <f>HYPERLINK("https://www.nba.com/stats/events?CFID=&amp;CFPARAMS=&amp;GameEventID=43&amp;GameID=0022400500&amp;Season=2024-25&amp;flag=1&amp;title=K.%20Dunn%20driving%20Hook%20(2%20PTS)%20(K.%20Leonard%201%20AST)", "K. Dunn driving Hook (2 PTS) (K. Leonard 1 AST)")</f>
        <v>K. Dunn driving Hook (2 PTS) (K. Leonard 1 AST)</v>
      </c>
      <c r="L257" s="2" t="str">
        <f>HYPERLINK("https://www.nba.com/game/...-vs-...-0022400500/play-by-play?watchFullGame=true", "LAC vs MIN - Q1 09:04.00")</f>
        <v>LAC vs MIN - Q1 09:04.00</v>
      </c>
      <c r="M257">
        <v>5.75</v>
      </c>
      <c r="N257">
        <v>9.94</v>
      </c>
      <c r="O257">
        <v>58.09</v>
      </c>
      <c r="P257">
        <v>-40</v>
      </c>
      <c r="Q257">
        <v>41</v>
      </c>
      <c r="R257">
        <v>9</v>
      </c>
      <c r="S257">
        <v>58</v>
      </c>
      <c r="T257" t="s">
        <v>73</v>
      </c>
    </row>
    <row r="258" spans="1:20" x14ac:dyDescent="0.25">
      <c r="A258">
        <v>22000605</v>
      </c>
      <c r="B258" t="s">
        <v>10</v>
      </c>
      <c r="C258" t="s">
        <v>9</v>
      </c>
      <c r="D258">
        <v>78</v>
      </c>
      <c r="E258">
        <v>67</v>
      </c>
      <c r="F258">
        <v>11</v>
      </c>
      <c r="G258">
        <v>3</v>
      </c>
      <c r="H258" s="1">
        <v>2.5347222222222221E-3</v>
      </c>
      <c r="I258">
        <v>2020</v>
      </c>
      <c r="J258" t="s">
        <v>59</v>
      </c>
      <c r="K258" s="2" t="str">
        <f>HYPERLINK("https://www.nba.com/stats/events?CFID=&amp;CFPARAMS=&amp;GameEventID=351&amp;GameID=0022000605&amp;Season=2020-21&amp;flag=1&amp;title=N.%20Batum%203PT%20%20(9%20PTS)%20(K.%20Leonard%206%20AST)", "N. Batum 3PT  (9 PTS) (K. Leonard 6 AST)")</f>
        <v>N. Batum 3PT  (9 PTS) (K. Leonard 6 AST)</v>
      </c>
      <c r="L258" s="2" t="str">
        <f>HYPERLINK("https://www.nba.com/game/...-vs-...-0022000605/play-by-play?watchFullGame=true", "LAC vs DAL - Q3 03:39.00")</f>
        <v>LAC vs DAL - Q3 03:39.00</v>
      </c>
      <c r="M258">
        <v>23.16</v>
      </c>
      <c r="N258">
        <v>9.41</v>
      </c>
      <c r="O258">
        <v>4.24</v>
      </c>
      <c r="P258">
        <v>229</v>
      </c>
      <c r="Q258">
        <v>36</v>
      </c>
      <c r="R258">
        <v>9</v>
      </c>
      <c r="S258">
        <v>4</v>
      </c>
      <c r="T258" t="s">
        <v>73</v>
      </c>
    </row>
    <row r="259" spans="1:20" x14ac:dyDescent="0.25">
      <c r="A259">
        <v>21900589</v>
      </c>
      <c r="B259" t="s">
        <v>4</v>
      </c>
      <c r="C259" t="s">
        <v>63</v>
      </c>
      <c r="D259">
        <v>9</v>
      </c>
      <c r="E259">
        <v>3</v>
      </c>
      <c r="F259">
        <v>6</v>
      </c>
      <c r="G259">
        <v>1</v>
      </c>
      <c r="H259" s="1">
        <v>6.3888888888888893E-3</v>
      </c>
      <c r="I259">
        <v>2019</v>
      </c>
      <c r="J259" t="s">
        <v>59</v>
      </c>
      <c r="K259" s="2" t="str">
        <f>HYPERLINK("https://www.nba.com/stats/events?CFID=&amp;CFPARAMS=&amp;GameEventID=29&amp;GameID=0021900589&amp;Season=2019-20&amp;flag=1&amp;title=I.%20Zubac%20dunk%20(4%20PTS)%20(K.%20Leonard%201%20AST)", "I. Zubac dunk (4 PTS) (K. Leonard 1 AST)")</f>
        <v>I. Zubac dunk (4 PTS) (K. Leonard 1 AST)</v>
      </c>
      <c r="L259" s="2" t="str">
        <f>HYPERLINK("https://www.nba.com/game/...-vs-...-0021900589/play-by-play?watchFullGame=true", "LAC vs DEN - Q1 09:12.00")</f>
        <v>LAC vs DEN - Q1 09:12.00</v>
      </c>
      <c r="M259">
        <v>4.12</v>
      </c>
      <c r="N259">
        <v>9.3800000000000008</v>
      </c>
      <c r="O259">
        <v>49.93</v>
      </c>
      <c r="P259">
        <v>9</v>
      </c>
      <c r="Q259">
        <v>36</v>
      </c>
      <c r="R259">
        <v>9</v>
      </c>
      <c r="S259">
        <v>49</v>
      </c>
      <c r="T259" t="s">
        <v>73</v>
      </c>
    </row>
    <row r="260" spans="1:20" x14ac:dyDescent="0.25">
      <c r="A260">
        <v>42200171</v>
      </c>
      <c r="B260" t="s">
        <v>4</v>
      </c>
      <c r="C260" t="s">
        <v>64</v>
      </c>
      <c r="D260">
        <v>74</v>
      </c>
      <c r="E260">
        <v>78</v>
      </c>
      <c r="F260">
        <v>4</v>
      </c>
      <c r="G260">
        <v>3</v>
      </c>
      <c r="H260" s="1">
        <v>1.724537037037037E-3</v>
      </c>
      <c r="I260" t="s">
        <v>67</v>
      </c>
      <c r="J260" t="s">
        <v>59</v>
      </c>
      <c r="K260" s="2" t="str">
        <f>HYPERLINK("https://www.nba.com/stats/events?CFID=&amp;CFPARAMS=&amp;GameEventID=471&amp;GameID=0042200171&amp;Season=2022-23&amp;flag=1&amp;title=M.%20Plumlee%20driving%20finger%20roll%20Layup%20(4%20PTS)%20(K.%20Leonard%204%20AST)", "M. Plumlee driving finger roll Layup (4 PTS) (K. Leonard 4 AST)")</f>
        <v>M. Plumlee driving finger roll Layup (4 PTS) (K. Leonard 4 AST)</v>
      </c>
      <c r="L260" s="2" t="str">
        <f>HYPERLINK("https://www.nba.com/game/...-vs-...-0042200171/play-by-play?watchFullGame=true", "LAC vs PHX - Q3 02:29.00")</f>
        <v>LAC vs PHX - Q3 02:29.00</v>
      </c>
      <c r="M260">
        <v>4.04</v>
      </c>
      <c r="N260">
        <v>9.41</v>
      </c>
      <c r="O260">
        <v>46.32</v>
      </c>
      <c r="P260">
        <v>9</v>
      </c>
      <c r="Q260">
        <v>46</v>
      </c>
      <c r="R260">
        <v>9</v>
      </c>
      <c r="S260">
        <v>46</v>
      </c>
      <c r="T260" t="s">
        <v>73</v>
      </c>
    </row>
    <row r="261" spans="1:20" x14ac:dyDescent="0.25">
      <c r="A261">
        <v>22201082</v>
      </c>
      <c r="B261" t="s">
        <v>4</v>
      </c>
      <c r="C261" t="s">
        <v>64</v>
      </c>
      <c r="D261">
        <v>100</v>
      </c>
      <c r="E261">
        <v>101</v>
      </c>
      <c r="F261">
        <v>1</v>
      </c>
      <c r="G261">
        <v>4</v>
      </c>
      <c r="H261" s="1">
        <v>6.5625000000000004E-4</v>
      </c>
      <c r="I261">
        <v>2022</v>
      </c>
      <c r="J261" t="s">
        <v>59</v>
      </c>
      <c r="K261" s="2" t="str">
        <f>HYPERLINK("https://www.nba.com/stats/events?CFID=&amp;CFPARAMS=&amp;GameEventID=644&amp;GameID=0022201082&amp;Season=2022-23&amp;flag=1&amp;title=N.%20Batum%20cutting%20Layup%20(5%20PTS)%20(K.%20Leonard%205%20AST)", "N. Batum cutting Layup (5 PTS) (K. Leonard 5 AST)")</f>
        <v>N. Batum cutting Layup (5 PTS) (K. Leonard 5 AST)</v>
      </c>
      <c r="L261" s="2" t="str">
        <f>HYPERLINK("https://www.nba.com/game/...-vs-...-0022201082/play-by-play?watchFullGame=true", "LAC vs OKC - Q4 00:56.70")</f>
        <v>LAC vs OKC - Q4 00:56.70</v>
      </c>
      <c r="M261">
        <v>4.13</v>
      </c>
      <c r="N261">
        <v>9.9</v>
      </c>
      <c r="O261">
        <v>48.53</v>
      </c>
      <c r="P261">
        <v>7</v>
      </c>
      <c r="Q261">
        <v>41</v>
      </c>
      <c r="R261">
        <v>9</v>
      </c>
      <c r="S261">
        <v>48</v>
      </c>
      <c r="T261" t="s">
        <v>73</v>
      </c>
    </row>
    <row r="262" spans="1:20" x14ac:dyDescent="0.25">
      <c r="A262">
        <v>22000009</v>
      </c>
      <c r="B262" t="s">
        <v>10</v>
      </c>
      <c r="C262" t="s">
        <v>9</v>
      </c>
      <c r="D262">
        <v>6</v>
      </c>
      <c r="E262">
        <v>2</v>
      </c>
      <c r="F262">
        <v>4</v>
      </c>
      <c r="G262">
        <v>1</v>
      </c>
      <c r="H262" s="1">
        <v>6.5740740740740742E-3</v>
      </c>
      <c r="I262">
        <v>2020</v>
      </c>
      <c r="J262" t="s">
        <v>59</v>
      </c>
      <c r="K262" s="2" t="str">
        <f>HYPERLINK("https://www.nba.com/stats/events?CFID=&amp;CFPARAMS=&amp;GameEventID=31&amp;GameID=0022000009&amp;Season=2020-21&amp;flag=1&amp;title=P.%20George%203PT%20running%20(3%20PTS)%20(K.%20Leonard%201%20AST)", "P. George 3PT running (3 PTS) (K. Leonard 1 AST)")</f>
        <v>P. George 3PT running (3 PTS) (K. Leonard 1 AST)</v>
      </c>
      <c r="L262" s="2" t="str">
        <f>HYPERLINK("https://www.nba.com/game/...-vs-...-0022000009/play-by-play?watchFullGame=true", "LAC vs DEN - Q1 09:28.00")</f>
        <v>LAC vs DEN - Q1 09:28.00</v>
      </c>
      <c r="M262">
        <v>22.92</v>
      </c>
      <c r="N262">
        <v>9.41</v>
      </c>
      <c r="O262">
        <v>4.7300000000000004</v>
      </c>
      <c r="P262">
        <v>226</v>
      </c>
      <c r="Q262">
        <v>36</v>
      </c>
      <c r="R262">
        <v>9</v>
      </c>
      <c r="S262">
        <v>4</v>
      </c>
      <c r="T262" t="s">
        <v>73</v>
      </c>
    </row>
    <row r="263" spans="1:20" x14ac:dyDescent="0.25">
      <c r="A263">
        <v>22200480</v>
      </c>
      <c r="B263" t="s">
        <v>10</v>
      </c>
      <c r="C263" t="s">
        <v>9</v>
      </c>
      <c r="D263">
        <v>77</v>
      </c>
      <c r="E263">
        <v>69</v>
      </c>
      <c r="F263">
        <v>8</v>
      </c>
      <c r="G263">
        <v>3</v>
      </c>
      <c r="H263" s="1">
        <v>3.3796296296296296E-3</v>
      </c>
      <c r="I263">
        <v>2022</v>
      </c>
      <c r="J263" t="s">
        <v>59</v>
      </c>
      <c r="K263" s="2" t="str">
        <f>HYPERLINK("https://www.nba.com/stats/events?CFID=&amp;CFPARAMS=&amp;GameEventID=366&amp;GameID=0022200480&amp;Season=2022-23&amp;flag=1&amp;title=M.%20Morris%20Sr.%203PT%20%20(6%20PTS)%20(K.%20Leonard%204%20AST)", "M. Morris Sr. 3PT  (6 PTS) (K. Leonard 4 AST)")</f>
        <v>M. Morris Sr. 3PT  (6 PTS) (K. Leonard 4 AST)</v>
      </c>
      <c r="L263" s="2" t="str">
        <f>HYPERLINK("https://www.nba.com/game/...-vs-...-0022200480/play-by-play?watchFullGame=true", "LAC vs PHI - Q3 04:52.00")</f>
        <v>LAC vs PHI - Q3 04:52.00</v>
      </c>
      <c r="M263">
        <v>23.22</v>
      </c>
      <c r="N263">
        <v>9.51</v>
      </c>
      <c r="O263">
        <v>95.83</v>
      </c>
      <c r="P263">
        <v>-229</v>
      </c>
      <c r="Q263">
        <v>37</v>
      </c>
      <c r="R263">
        <v>9</v>
      </c>
      <c r="S263">
        <v>95</v>
      </c>
      <c r="T263" t="s">
        <v>73</v>
      </c>
    </row>
    <row r="264" spans="1:20" x14ac:dyDescent="0.25">
      <c r="A264">
        <v>21900251</v>
      </c>
      <c r="B264" t="s">
        <v>10</v>
      </c>
      <c r="C264" t="s">
        <v>61</v>
      </c>
      <c r="D264">
        <v>3</v>
      </c>
      <c r="E264">
        <v>3</v>
      </c>
      <c r="F264">
        <v>0</v>
      </c>
      <c r="G264">
        <v>1</v>
      </c>
      <c r="H264" s="1">
        <v>7.2800925925925923E-3</v>
      </c>
      <c r="I264">
        <v>2019</v>
      </c>
      <c r="J264" t="s">
        <v>59</v>
      </c>
      <c r="K264" s="2" t="str">
        <f>HYPERLINK("https://www.nba.com/stats/events?CFID=&amp;CFPARAMS=&amp;GameEventID=19&amp;GameID=0021900251&amp;Season=2019-20&amp;flag=1&amp;title=P.%20George%2023'%203PT%20%20(3%20PTS)%20(K.%20Leonard%201%20AST)", "P. George 23' 3PT  (3 PTS) (K. Leonard 1 AST)")</f>
        <v>P. George 23' 3PT  (3 PTS) (K. Leonard 1 AST)</v>
      </c>
      <c r="L264" s="2" t="str">
        <f>HYPERLINK("https://www.nba.com/game/...-vs-...-0021900251/play-by-play?watchFullGame=true", "LAC vs DAL - Q1 10:29.00")</f>
        <v>LAC vs DAL - Q1 10:29.00</v>
      </c>
      <c r="M264">
        <v>23.24</v>
      </c>
      <c r="N264">
        <v>10.59</v>
      </c>
      <c r="O264">
        <v>4.7300000000000004</v>
      </c>
      <c r="P264">
        <v>226</v>
      </c>
      <c r="Q264">
        <v>47</v>
      </c>
      <c r="R264">
        <v>10</v>
      </c>
      <c r="S264">
        <v>4</v>
      </c>
      <c r="T264" t="s">
        <v>73</v>
      </c>
    </row>
    <row r="265" spans="1:20" x14ac:dyDescent="0.25">
      <c r="A265">
        <v>21901291</v>
      </c>
      <c r="B265" t="s">
        <v>10</v>
      </c>
      <c r="C265" t="s">
        <v>61</v>
      </c>
      <c r="D265">
        <v>86</v>
      </c>
      <c r="E265">
        <v>92</v>
      </c>
      <c r="F265">
        <v>6</v>
      </c>
      <c r="G265">
        <v>3</v>
      </c>
      <c r="H265" s="1">
        <v>2.5115740740740741E-3</v>
      </c>
      <c r="I265">
        <v>2019</v>
      </c>
      <c r="J265" t="s">
        <v>59</v>
      </c>
      <c r="K265" s="2" t="str">
        <f>HYPERLINK("https://www.nba.com/stats/events?CFID=&amp;CFPARAMS=&amp;GameEventID=447&amp;GameID=0021901291&amp;Season=2019-20&amp;flag=1&amp;title=T.%20Mann%2024'%203PT%20%20(6%20PTS)%20(K.%20Leonard%205%20AST)", "T. Mann 24' 3PT  (6 PTS) (K. Leonard 5 AST)")</f>
        <v>T. Mann 24' 3PT  (6 PTS) (K. Leonard 5 AST)</v>
      </c>
      <c r="L265" s="2" t="str">
        <f>HYPERLINK("https://www.nba.com/game/...-vs-...-0021901291/play-by-play?watchFullGame=true", "LAC vs BKN - Q3 03:37.00")</f>
        <v>LAC vs BKN - Q3 03:37.00</v>
      </c>
      <c r="M265">
        <v>24.37</v>
      </c>
      <c r="N265">
        <v>10.86</v>
      </c>
      <c r="O265">
        <v>2.52</v>
      </c>
      <c r="P265">
        <v>237</v>
      </c>
      <c r="Q265">
        <v>50</v>
      </c>
      <c r="R265">
        <v>10</v>
      </c>
      <c r="S265">
        <v>2</v>
      </c>
      <c r="T265" t="s">
        <v>73</v>
      </c>
    </row>
    <row r="266" spans="1:20" x14ac:dyDescent="0.25">
      <c r="A266">
        <v>22301079</v>
      </c>
      <c r="B266" t="s">
        <v>4</v>
      </c>
      <c r="C266" t="s">
        <v>9</v>
      </c>
      <c r="D266">
        <v>74</v>
      </c>
      <c r="E266">
        <v>64</v>
      </c>
      <c r="F266">
        <v>10</v>
      </c>
      <c r="G266">
        <v>3</v>
      </c>
      <c r="H266" s="1">
        <v>6.122685185185185E-3</v>
      </c>
      <c r="I266">
        <v>2023</v>
      </c>
      <c r="J266" t="s">
        <v>59</v>
      </c>
      <c r="K266" s="2" t="str">
        <f>HYPERLINK("https://www.nba.com/stats/events?CFID=&amp;CFPARAMS=&amp;GameEventID=325&amp;GameID=0022301079&amp;Season=2023-24&amp;flag=1&amp;title=T.%20Mann%20floating%20Jump%20Shot%20(5%20PTS)%20(K.%20Leonard%202%20AST)", "T. Mann floating Jump Shot (5 PTS) (K. Leonard 2 AST)")</f>
        <v>T. Mann floating Jump Shot (5 PTS) (K. Leonard 2 AST)</v>
      </c>
      <c r="L266" s="2" t="str">
        <f>HYPERLINK("https://www.nba.com/game/...-vs-...-0022301079/play-by-play?watchFullGame=true", "LAC vs CHA - Q3 08:49.00")</f>
        <v>LAC vs CHA - Q3 08:49.00</v>
      </c>
      <c r="M266">
        <v>4.72</v>
      </c>
      <c r="N266">
        <v>10.59</v>
      </c>
      <c r="O266">
        <v>49.51</v>
      </c>
      <c r="P266">
        <v>2</v>
      </c>
      <c r="Q266">
        <v>47</v>
      </c>
      <c r="R266">
        <v>10</v>
      </c>
      <c r="S266">
        <v>49</v>
      </c>
      <c r="T266" t="s">
        <v>73</v>
      </c>
    </row>
    <row r="267" spans="1:20" x14ac:dyDescent="0.25">
      <c r="A267">
        <v>22300014</v>
      </c>
      <c r="B267" t="s">
        <v>4</v>
      </c>
      <c r="C267" t="s">
        <v>70</v>
      </c>
      <c r="D267">
        <v>77</v>
      </c>
      <c r="E267">
        <v>107</v>
      </c>
      <c r="F267">
        <v>30</v>
      </c>
      <c r="G267">
        <v>3</v>
      </c>
      <c r="H267" s="1">
        <v>2.0254629629629629E-3</v>
      </c>
      <c r="I267">
        <v>2023</v>
      </c>
      <c r="J267" t="s">
        <v>59</v>
      </c>
      <c r="K267" s="2" t="str">
        <f>HYPERLINK("https://www.nba.com/stats/events?CFID=&amp;CFPARAMS=&amp;GameEventID=470&amp;GameID=0022300014&amp;Season=2023-24&amp;flag=1&amp;title=I.%20Zubac%20turnaround%20bank%20Hook%20(10%20PTS)%20(K.%20Leonard%203%20AST)", "I. Zubac turnaround bank Hook (10 PTS) (K. Leonard 3 AST)")</f>
        <v>I. Zubac turnaround bank Hook (10 PTS) (K. Leonard 3 AST)</v>
      </c>
      <c r="L267" s="2" t="str">
        <f>HYPERLINK("https://www.nba.com/game/...-vs-...-0022300014/play-by-play?watchFullGame=true", "LAC vs DAL - Q3 02:55.00")</f>
        <v>LAC vs DAL - Q3 02:55.00</v>
      </c>
      <c r="M267">
        <v>5.31</v>
      </c>
      <c r="N267">
        <v>10.199999999999999</v>
      </c>
      <c r="O267">
        <v>56.13</v>
      </c>
      <c r="P267">
        <v>-31</v>
      </c>
      <c r="Q267">
        <v>43</v>
      </c>
      <c r="R267">
        <v>10</v>
      </c>
      <c r="S267">
        <v>56</v>
      </c>
      <c r="T267" t="s">
        <v>73</v>
      </c>
    </row>
    <row r="268" spans="1:20" x14ac:dyDescent="0.25">
      <c r="A268">
        <v>22200389</v>
      </c>
      <c r="B268" t="s">
        <v>10</v>
      </c>
      <c r="C268" t="s">
        <v>9</v>
      </c>
      <c r="D268">
        <v>65</v>
      </c>
      <c r="E268">
        <v>71</v>
      </c>
      <c r="F268">
        <v>6</v>
      </c>
      <c r="G268">
        <v>3</v>
      </c>
      <c r="H268" s="1">
        <v>6.5162037037037037E-3</v>
      </c>
      <c r="I268">
        <v>2022</v>
      </c>
      <c r="J268" t="s">
        <v>59</v>
      </c>
      <c r="K268" s="2" t="str">
        <f>HYPERLINK("https://www.nba.com/stats/events?CFID=&amp;CFPARAMS=&amp;GameEventID=353&amp;GameID=0022200389&amp;Season=2022-23&amp;flag=1&amp;title=P.%20George%203PT%20%20(19%20PTS)%20(K.%20Leonard%203%20AST)", "P. George 3PT  (19 PTS) (K. Leonard 3 AST)")</f>
        <v>P. George 3PT  (19 PTS) (K. Leonard 3 AST)</v>
      </c>
      <c r="L268" s="2" t="str">
        <f>HYPERLINK("https://www.nba.com/game/...-vs-...-0022200389/play-by-play?watchFullGame=true", "LAC vs WAS - Q3 09:23.00")</f>
        <v>LAC vs WAS - Q3 09:23.00</v>
      </c>
      <c r="M268">
        <v>23.93</v>
      </c>
      <c r="N268">
        <v>10.199999999999999</v>
      </c>
      <c r="O268">
        <v>97.06</v>
      </c>
      <c r="P268">
        <v>-235</v>
      </c>
      <c r="Q268">
        <v>43</v>
      </c>
      <c r="R268">
        <v>10</v>
      </c>
      <c r="S268">
        <v>97</v>
      </c>
      <c r="T268" t="s">
        <v>73</v>
      </c>
    </row>
    <row r="269" spans="1:20" x14ac:dyDescent="0.25">
      <c r="A269">
        <v>22200902</v>
      </c>
      <c r="B269" t="s">
        <v>4</v>
      </c>
      <c r="C269" t="s">
        <v>64</v>
      </c>
      <c r="D269">
        <v>144</v>
      </c>
      <c r="E269">
        <v>131</v>
      </c>
      <c r="F269">
        <v>13</v>
      </c>
      <c r="G269">
        <v>4</v>
      </c>
      <c r="H269" s="1">
        <v>3.7847222222222223E-3</v>
      </c>
      <c r="I269">
        <v>2022</v>
      </c>
      <c r="J269" t="s">
        <v>59</v>
      </c>
      <c r="K269" s="2" t="str">
        <f>HYPERLINK("https://www.nba.com/stats/events?CFID=&amp;CFPARAMS=&amp;GameEventID=580&amp;GameID=0022200902&amp;Season=2022-23&amp;flag=1&amp;title=R.%20Westbrook%20driving%20Layup%20(10%20PTS)%20(K.%20Leonard%204%20AST)", "R. Westbrook driving Layup (10 PTS) (K. Leonard 4 AST)")</f>
        <v>R. Westbrook driving Layup (10 PTS) (K. Leonard 4 AST)</v>
      </c>
      <c r="L269" s="2" t="str">
        <f>HYPERLINK("https://www.nba.com/game/...-vs-...-0022200902/play-by-play?watchFullGame=true", "LAC vs SAC - Q4 05:27.00")</f>
        <v>LAC vs SAC - Q4 05:27.00</v>
      </c>
      <c r="M269">
        <v>4.74</v>
      </c>
      <c r="N269">
        <v>10.56</v>
      </c>
      <c r="O269">
        <v>51.47</v>
      </c>
      <c r="P269">
        <v>-7</v>
      </c>
      <c r="Q269">
        <v>47</v>
      </c>
      <c r="R269">
        <v>10</v>
      </c>
      <c r="S269">
        <v>51</v>
      </c>
      <c r="T269" t="s">
        <v>73</v>
      </c>
    </row>
    <row r="270" spans="1:20" x14ac:dyDescent="0.25">
      <c r="A270">
        <v>22300526</v>
      </c>
      <c r="B270" t="s">
        <v>10</v>
      </c>
      <c r="C270" t="s">
        <v>9</v>
      </c>
      <c r="D270">
        <v>3</v>
      </c>
      <c r="E270">
        <v>0</v>
      </c>
      <c r="F270">
        <v>3</v>
      </c>
      <c r="G270">
        <v>1</v>
      </c>
      <c r="H270" s="1">
        <v>8.1481481481481474E-3</v>
      </c>
      <c r="I270">
        <v>2023</v>
      </c>
      <c r="J270" t="s">
        <v>59</v>
      </c>
      <c r="K270" s="2" t="str">
        <f>HYPERLINK("https://www.nba.com/stats/events?CFID=&amp;CFPARAMS=&amp;GameEventID=7&amp;GameID=0022300526&amp;Season=2023-24&amp;flag=1&amp;title=T.%20Mann%203PT%20%20(3%20PTS)%20(K.%20Leonard%201%20AST)", "T. Mann 3PT  (3 PTS) (K. Leonard 1 AST)")</f>
        <v>T. Mann 3PT  (3 PTS) (K. Leonard 1 AST)</v>
      </c>
      <c r="L270" s="2" t="str">
        <f>HYPERLINK("https://www.nba.com/game/...-vs-...-0022300526/play-by-play?watchFullGame=true", "LAC vs TOR - Q1 11:44.00")</f>
        <v>LAC vs TOR - Q1 11:44.00</v>
      </c>
      <c r="M270">
        <v>23.83</v>
      </c>
      <c r="N270">
        <v>10.3</v>
      </c>
      <c r="O270">
        <v>3.19</v>
      </c>
      <c r="P270">
        <v>234</v>
      </c>
      <c r="Q270">
        <v>44</v>
      </c>
      <c r="R270">
        <v>10</v>
      </c>
      <c r="S270">
        <v>3</v>
      </c>
      <c r="T270" t="s">
        <v>73</v>
      </c>
    </row>
    <row r="271" spans="1:20" x14ac:dyDescent="0.25">
      <c r="A271">
        <v>21900276</v>
      </c>
      <c r="B271" t="s">
        <v>4</v>
      </c>
      <c r="C271" t="s">
        <v>60</v>
      </c>
      <c r="D271">
        <v>11</v>
      </c>
      <c r="E271">
        <v>7</v>
      </c>
      <c r="F271">
        <v>4</v>
      </c>
      <c r="G271">
        <v>1</v>
      </c>
      <c r="H271" s="1">
        <v>4.9189814814814816E-3</v>
      </c>
      <c r="I271">
        <v>2019</v>
      </c>
      <c r="J271" t="s">
        <v>59</v>
      </c>
      <c r="K271" s="2" t="str">
        <f>HYPERLINK("https://www.nba.com/stats/events?CFID=&amp;CFPARAMS=&amp;GameEventID=53&amp;GameID=0021900276&amp;Season=2019-20&amp;flag=1&amp;title=I.%20Zubac%20hook%20(4%20PTS)%20(K.%20Leonard%203%20AST)", "I. Zubac hook (4 PTS) (K. Leonard 3 AST)")</f>
        <v>I. Zubac hook (4 PTS) (K. Leonard 3 AST)</v>
      </c>
      <c r="L271" s="2" t="str">
        <f>HYPERLINK("https://www.nba.com/game/...-vs-...-0021900276/play-by-play?watchFullGame=true", "LAC vs SAS - Q1 07:05.00")</f>
        <v>LAC vs SAS - Q1 07:05.00</v>
      </c>
      <c r="M271">
        <v>5.46</v>
      </c>
      <c r="N271">
        <v>10.199999999999999</v>
      </c>
      <c r="O271">
        <v>45.17</v>
      </c>
      <c r="P271">
        <v>24</v>
      </c>
      <c r="Q271">
        <v>43</v>
      </c>
      <c r="R271">
        <v>10</v>
      </c>
      <c r="S271">
        <v>45</v>
      </c>
      <c r="T271" t="s">
        <v>73</v>
      </c>
    </row>
    <row r="272" spans="1:20" x14ac:dyDescent="0.25">
      <c r="A272">
        <v>22300799</v>
      </c>
      <c r="B272" t="s">
        <v>10</v>
      </c>
      <c r="C272" t="s">
        <v>9</v>
      </c>
      <c r="D272">
        <v>48</v>
      </c>
      <c r="E272">
        <v>50</v>
      </c>
      <c r="F272">
        <v>2</v>
      </c>
      <c r="G272">
        <v>2</v>
      </c>
      <c r="H272" s="1">
        <v>3.3333333333333335E-3</v>
      </c>
      <c r="I272">
        <v>2023</v>
      </c>
      <c r="J272" t="s">
        <v>59</v>
      </c>
      <c r="K272" s="2" t="str">
        <f>HYPERLINK("https://www.nba.com/stats/events?CFID=&amp;CFPARAMS=&amp;GameEventID=253&amp;GameID=0022300799&amp;Season=2023-24&amp;flag=1&amp;title=N.%20Powell%203PT%20%20(12%20PTS)%20(K.%20Leonard%201%20AST)", "N. Powell 3PT  (12 PTS) (K. Leonard 1 AST)")</f>
        <v>N. Powell 3PT  (12 PTS) (K. Leonard 1 AST)</v>
      </c>
      <c r="L272" s="2" t="str">
        <f>HYPERLINK("https://www.nba.com/game/...-vs-...-0022300799/play-by-play?watchFullGame=true", "LAC vs OKC - Q2 04:48.00")</f>
        <v>LAC vs OKC - Q2 04:48.00</v>
      </c>
      <c r="M272">
        <v>23.56</v>
      </c>
      <c r="N272">
        <v>10.199999999999999</v>
      </c>
      <c r="O272">
        <v>96.32</v>
      </c>
      <c r="P272">
        <v>-232</v>
      </c>
      <c r="Q272">
        <v>43</v>
      </c>
      <c r="R272">
        <v>10</v>
      </c>
      <c r="S272">
        <v>96</v>
      </c>
      <c r="T272" t="s">
        <v>73</v>
      </c>
    </row>
    <row r="273" spans="1:20" x14ac:dyDescent="0.25">
      <c r="A273">
        <v>22400500</v>
      </c>
      <c r="B273" t="s">
        <v>4</v>
      </c>
      <c r="C273" t="s">
        <v>70</v>
      </c>
      <c r="D273">
        <v>13</v>
      </c>
      <c r="E273">
        <v>7</v>
      </c>
      <c r="F273">
        <v>6</v>
      </c>
      <c r="G273">
        <v>1</v>
      </c>
      <c r="H273" s="1">
        <v>4.0740740740740737E-3</v>
      </c>
      <c r="I273">
        <v>2024</v>
      </c>
      <c r="J273" t="s">
        <v>59</v>
      </c>
      <c r="K273" s="2" t="str">
        <f>HYPERLINK("https://www.nba.com/stats/events?CFID=&amp;CFPARAMS=&amp;GameEventID=77&amp;GameID=0022400500&amp;Season=2024-25&amp;flag=1&amp;title=I.%20Zubac%20turnaround%20Hook%20(2%20PTS)%20(K.%20Leonard%202%20AST)", "I. Zubac turnaround Hook (2 PTS) (K. Leonard 2 AST)")</f>
        <v>I. Zubac turnaround Hook (2 PTS) (K. Leonard 2 AST)</v>
      </c>
      <c r="L273" s="2" t="str">
        <f>HYPERLINK("https://www.nba.com/game/...-vs-...-0022400500/play-by-play?watchFullGame=true", "LAC vs MIN - Q1 05:52.00")</f>
        <v>LAC vs MIN - Q1 05:52.00</v>
      </c>
      <c r="M273">
        <v>5.43</v>
      </c>
      <c r="N273">
        <v>10.59</v>
      </c>
      <c r="O273">
        <v>55.39</v>
      </c>
      <c r="P273">
        <v>-27</v>
      </c>
      <c r="Q273">
        <v>47</v>
      </c>
      <c r="R273">
        <v>10</v>
      </c>
      <c r="S273">
        <v>55</v>
      </c>
      <c r="T273" t="s">
        <v>73</v>
      </c>
    </row>
    <row r="274" spans="1:20" x14ac:dyDescent="0.25">
      <c r="A274">
        <v>21901271</v>
      </c>
      <c r="B274" t="s">
        <v>4</v>
      </c>
      <c r="C274" t="s">
        <v>60</v>
      </c>
      <c r="D274">
        <v>49</v>
      </c>
      <c r="E274">
        <v>52</v>
      </c>
      <c r="F274">
        <v>3</v>
      </c>
      <c r="G274">
        <v>2</v>
      </c>
      <c r="H274" s="1">
        <v>1.5625000000000001E-3</v>
      </c>
      <c r="I274">
        <v>2019</v>
      </c>
      <c r="J274" t="s">
        <v>59</v>
      </c>
      <c r="K274" s="2" t="str">
        <f>HYPERLINK("https://www.nba.com/stats/events?CFID=&amp;CFPARAMS=&amp;GameEventID=302&amp;GameID=0021901271&amp;Season=2019-20&amp;flag=1&amp;title=I.%20Zubac%206'%20hook%20(9%20PTS)%20(K.%20Leonard%203%20AST)", "I. Zubac 6' hook (9 PTS) (K. Leonard 3 AST)")</f>
        <v>I. Zubac 6' hook (9 PTS) (K. Leonard 3 AST)</v>
      </c>
      <c r="L274" s="2" t="str">
        <f>HYPERLINK("https://www.nba.com/game/...-vs-...-0021901271/play-by-play?watchFullGame=true", "LAC vs DAL - Q2 02:15.00")</f>
        <v>LAC vs DAL - Q2 02:15.00</v>
      </c>
      <c r="M274">
        <v>5.73</v>
      </c>
      <c r="N274">
        <v>10.46</v>
      </c>
      <c r="O274">
        <v>44.92</v>
      </c>
      <c r="P274">
        <v>25</v>
      </c>
      <c r="Q274">
        <v>46</v>
      </c>
      <c r="R274">
        <v>10</v>
      </c>
      <c r="S274">
        <v>44</v>
      </c>
      <c r="T274" t="s">
        <v>73</v>
      </c>
    </row>
    <row r="275" spans="1:20" x14ac:dyDescent="0.25">
      <c r="A275">
        <v>22000554</v>
      </c>
      <c r="B275" t="s">
        <v>4</v>
      </c>
      <c r="C275" t="s">
        <v>65</v>
      </c>
      <c r="D275">
        <v>42</v>
      </c>
      <c r="E275">
        <v>37</v>
      </c>
      <c r="F275">
        <v>5</v>
      </c>
      <c r="G275">
        <v>2</v>
      </c>
      <c r="H275" s="1">
        <v>4.363425925925926E-3</v>
      </c>
      <c r="I275">
        <v>2020</v>
      </c>
      <c r="J275" t="s">
        <v>59</v>
      </c>
      <c r="K275" s="2" t="str">
        <f>HYPERLINK("https://www.nba.com/stats/events?CFID=&amp;CFPARAMS=&amp;GameEventID=230&amp;GameID=0022000554&amp;Season=2020-21&amp;flag=1&amp;title=I.%20Zubac%207'%20cutting%20DUNK%20(4%20PTS)%20(K.%20Leonard%202%20AST)", "I. Zubac 7' cutting DUNK (4 PTS) (K. Leonard 2 AST)")</f>
        <v>I. Zubac 7' cutting DUNK (4 PTS) (K. Leonard 2 AST)</v>
      </c>
      <c r="L275" s="2" t="str">
        <f>HYPERLINK("https://www.nba.com/game/...-vs-...-0022000554/play-by-play?watchFullGame=true", "LAC vs WAS - Q2 06:17.00")</f>
        <v>LAC vs WAS - Q2 06:17.00</v>
      </c>
      <c r="M275">
        <v>7.08</v>
      </c>
      <c r="N275">
        <v>10.73</v>
      </c>
      <c r="O275">
        <v>60.36</v>
      </c>
      <c r="P275">
        <v>-52</v>
      </c>
      <c r="Q275">
        <v>48</v>
      </c>
      <c r="R275">
        <v>10</v>
      </c>
      <c r="S275">
        <v>60</v>
      </c>
      <c r="T275" t="s">
        <v>73</v>
      </c>
    </row>
    <row r="276" spans="1:20" x14ac:dyDescent="0.25">
      <c r="A276">
        <v>22300458</v>
      </c>
      <c r="B276" t="s">
        <v>4</v>
      </c>
      <c r="C276" t="s">
        <v>70</v>
      </c>
      <c r="D276">
        <v>95</v>
      </c>
      <c r="E276">
        <v>85</v>
      </c>
      <c r="F276">
        <v>10</v>
      </c>
      <c r="G276">
        <v>3</v>
      </c>
      <c r="H276" s="1">
        <v>3.1481481481481481E-4</v>
      </c>
      <c r="I276">
        <v>2023</v>
      </c>
      <c r="J276" t="s">
        <v>59</v>
      </c>
      <c r="K276" s="2" t="str">
        <f>HYPERLINK("https://www.nba.com/stats/events?CFID=&amp;CFPARAMS=&amp;GameEventID=459&amp;GameID=0022300458&amp;Season=2023-24&amp;flag=1&amp;title=N.%20Powell%20driving%20Hook%20(16%20PTS)%20(K.%20Leonard%204%20AST)", "N. Powell driving Hook (16 PTS) (K. Leonard 4 AST)")</f>
        <v>N. Powell driving Hook (16 PTS) (K. Leonard 4 AST)</v>
      </c>
      <c r="L276" s="2" t="str">
        <f>HYPERLINK("https://www.nba.com/game/...-vs-...-0022300458/play-by-play?watchFullGame=true", "LAC vs MIA - Q3 00:27.20")</f>
        <v>LAC vs MIA - Q3 00:27.20</v>
      </c>
      <c r="M276">
        <v>5.34</v>
      </c>
      <c r="N276">
        <v>10.69</v>
      </c>
      <c r="O276">
        <v>45.34</v>
      </c>
      <c r="P276">
        <v>23</v>
      </c>
      <c r="Q276">
        <v>48</v>
      </c>
      <c r="R276">
        <v>10</v>
      </c>
      <c r="S276">
        <v>45</v>
      </c>
      <c r="T276" t="s">
        <v>73</v>
      </c>
    </row>
    <row r="277" spans="1:20" x14ac:dyDescent="0.25">
      <c r="A277">
        <v>21901241</v>
      </c>
      <c r="B277" t="s">
        <v>10</v>
      </c>
      <c r="C277" t="s">
        <v>61</v>
      </c>
      <c r="D277">
        <v>59</v>
      </c>
      <c r="E277">
        <v>37</v>
      </c>
      <c r="F277">
        <v>22</v>
      </c>
      <c r="G277">
        <v>2</v>
      </c>
      <c r="H277" s="1">
        <v>4.0046296296296297E-3</v>
      </c>
      <c r="I277">
        <v>2019</v>
      </c>
      <c r="J277" t="s">
        <v>59</v>
      </c>
      <c r="K277" s="2" t="str">
        <f>HYPERLINK("https://www.nba.com/stats/events?CFID=&amp;CFPARAMS=&amp;GameEventID=258&amp;GameID=0021901241&amp;Season=2019-20&amp;flag=1&amp;title=P.%20George%2024'%203PT%20%20(12%20PTS)%20(K.%20Leonard%205%20AST)", "P. George 24' 3PT  (12 PTS) (K. Leonard 5 AST)")</f>
        <v>P. George 24' 3PT  (12 PTS) (K. Leonard 5 AST)</v>
      </c>
      <c r="L277" s="2" t="str">
        <f>HYPERLINK("https://www.nba.com/game/...-vs-...-0021901241/play-by-play?watchFullGame=true", "LAC vs NOP - Q2 05:46.00")</f>
        <v>LAC vs NOP - Q2 05:46.00</v>
      </c>
      <c r="M277">
        <v>23.59</v>
      </c>
      <c r="N277">
        <v>10.59</v>
      </c>
      <c r="O277">
        <v>3.99</v>
      </c>
      <c r="P277">
        <v>230</v>
      </c>
      <c r="Q277">
        <v>47</v>
      </c>
      <c r="R277">
        <v>10</v>
      </c>
      <c r="S277">
        <v>3</v>
      </c>
      <c r="T277" t="s">
        <v>73</v>
      </c>
    </row>
    <row r="278" spans="1:20" x14ac:dyDescent="0.25">
      <c r="A278">
        <v>22000387</v>
      </c>
      <c r="B278" t="s">
        <v>4</v>
      </c>
      <c r="C278" t="s">
        <v>9</v>
      </c>
      <c r="D278">
        <v>49</v>
      </c>
      <c r="E278">
        <v>56</v>
      </c>
      <c r="F278">
        <v>7</v>
      </c>
      <c r="G278">
        <v>3</v>
      </c>
      <c r="H278" s="1">
        <v>7.8125E-3</v>
      </c>
      <c r="I278">
        <v>2020</v>
      </c>
      <c r="J278" t="s">
        <v>59</v>
      </c>
      <c r="K278" s="2" t="str">
        <f>HYPERLINK("https://www.nba.com/stats/events?CFID=&amp;CFPARAMS=&amp;GameEventID=340&amp;GameID=0022000387&amp;Season=2020-21&amp;flag=1&amp;title=R.%20Jackson%2013'%20fadeaway%20Jump%20Shot%20(5%20PTS)%20(K.%20Leonard%203%20AST)", "R. Jackson 13' fadeaway Jump Shot (5 PTS) (K. Leonard 3 AST)")</f>
        <v>R. Jackson 13' fadeaway Jump Shot (5 PTS) (K. Leonard 3 AST)</v>
      </c>
      <c r="L278" s="2" t="str">
        <f>HYPERLINK("https://www.nba.com/game/...-vs-...-0022000387/play-by-play?watchFullGame=true", "LAC vs MIN - Q3 11:15.00")</f>
        <v>LAC vs MIN - Q3 11:15.00</v>
      </c>
      <c r="M278">
        <v>13.5</v>
      </c>
      <c r="N278">
        <v>10.199999999999999</v>
      </c>
      <c r="O278">
        <v>75.56</v>
      </c>
      <c r="P278">
        <v>-128</v>
      </c>
      <c r="Q278">
        <v>43</v>
      </c>
      <c r="R278">
        <v>10</v>
      </c>
      <c r="S278">
        <v>75</v>
      </c>
      <c r="T278" t="s">
        <v>73</v>
      </c>
    </row>
    <row r="279" spans="1:20" x14ac:dyDescent="0.25">
      <c r="A279">
        <v>22300304</v>
      </c>
      <c r="B279" t="s">
        <v>10</v>
      </c>
      <c r="C279" t="s">
        <v>9</v>
      </c>
      <c r="D279">
        <v>77</v>
      </c>
      <c r="E279">
        <v>77</v>
      </c>
      <c r="F279">
        <v>0</v>
      </c>
      <c r="G279">
        <v>3</v>
      </c>
      <c r="H279" s="1">
        <v>5.9606481481481481E-3</v>
      </c>
      <c r="I279">
        <v>2023</v>
      </c>
      <c r="J279" t="s">
        <v>59</v>
      </c>
      <c r="K279" s="2" t="str">
        <f>HYPERLINK("https://www.nba.com/stats/events?CFID=&amp;CFPARAMS=&amp;GameEventID=346&amp;GameID=0022300304&amp;Season=2023-24&amp;flag=1&amp;title=P.%20George%203PT%20%20(12%20PTS)%20(K.%20Leonard%205%20AST)", "P. George 3PT  (12 PTS) (K. Leonard 5 AST)")</f>
        <v>P. George 3PT  (12 PTS) (K. Leonard 5 AST)</v>
      </c>
      <c r="L279" s="2" t="str">
        <f>HYPERLINK("https://www.nba.com/game/...-vs-...-0022300304/play-by-play?watchFullGame=true", "LAC vs POR - Q3 08:35.00")</f>
        <v>LAC vs POR - Q3 08:35.00</v>
      </c>
      <c r="M279">
        <v>23.53</v>
      </c>
      <c r="N279">
        <v>10.039999999999999</v>
      </c>
      <c r="O279">
        <v>3.68</v>
      </c>
      <c r="P279">
        <v>232</v>
      </c>
      <c r="Q279">
        <v>42</v>
      </c>
      <c r="R279">
        <v>10</v>
      </c>
      <c r="S279">
        <v>3</v>
      </c>
      <c r="T279" t="s">
        <v>73</v>
      </c>
    </row>
    <row r="280" spans="1:20" x14ac:dyDescent="0.25">
      <c r="A280">
        <v>41900156</v>
      </c>
      <c r="B280" t="s">
        <v>10</v>
      </c>
      <c r="C280" t="s">
        <v>61</v>
      </c>
      <c r="D280">
        <v>10</v>
      </c>
      <c r="E280">
        <v>4</v>
      </c>
      <c r="F280">
        <v>6</v>
      </c>
      <c r="G280">
        <v>1</v>
      </c>
      <c r="H280" s="1">
        <v>5.7638888888888887E-3</v>
      </c>
      <c r="I280" t="s">
        <v>68</v>
      </c>
      <c r="J280" t="s">
        <v>59</v>
      </c>
      <c r="K280" s="2" t="str">
        <f>HYPERLINK("https://www.nba.com/stats/events?CFID=&amp;CFPARAMS=&amp;GameEventID=43&amp;GameID=0041900156&amp;Season=2019-20&amp;flag=1&amp;title=L.%20Shamet%2023'%203PT%20%20(3%20PTS)%20(K.%20Leonard%202%20AST)", "L. Shamet 23' 3PT  (3 PTS) (K. Leonard 2 AST)")</f>
        <v>L. Shamet 23' 3PT  (3 PTS) (K. Leonard 2 AST)</v>
      </c>
      <c r="L280" s="2" t="str">
        <f>HYPERLINK("https://www.nba.com/game/...-vs-...-0041900156/play-by-play?watchFullGame=true", "LAC vs DAL - Q1 08:18.00")</f>
        <v>LAC vs DAL - Q1 08:18.00</v>
      </c>
      <c r="M280">
        <v>22.71</v>
      </c>
      <c r="N280">
        <v>10.59</v>
      </c>
      <c r="O280">
        <v>94.19</v>
      </c>
      <c r="P280">
        <v>-221</v>
      </c>
      <c r="Q280">
        <v>47</v>
      </c>
      <c r="R280">
        <v>10</v>
      </c>
      <c r="S280">
        <v>94</v>
      </c>
      <c r="T280" t="s">
        <v>73</v>
      </c>
    </row>
    <row r="281" spans="1:20" x14ac:dyDescent="0.25">
      <c r="A281">
        <v>22200719</v>
      </c>
      <c r="B281" t="s">
        <v>4</v>
      </c>
      <c r="C281" t="s">
        <v>70</v>
      </c>
      <c r="D281">
        <v>79</v>
      </c>
      <c r="E281">
        <v>56</v>
      </c>
      <c r="F281">
        <v>23</v>
      </c>
      <c r="G281">
        <v>3</v>
      </c>
      <c r="H281" s="1">
        <v>7.9629629629629634E-3</v>
      </c>
      <c r="I281">
        <v>2022</v>
      </c>
      <c r="J281" t="s">
        <v>59</v>
      </c>
      <c r="K281" s="2" t="str">
        <f>HYPERLINK("https://www.nba.com/stats/events?CFID=&amp;CFPARAMS=&amp;GameEventID=339&amp;GameID=0022200719&amp;Season=2022-23&amp;flag=1&amp;title=I.%20Zubac%20turnaround%20Hook%20(4%20PTS)%20(K.%20Leonard%202%20AST)", "I. Zubac turnaround Hook (4 PTS) (K. Leonard 2 AST)")</f>
        <v>I. Zubac turnaround Hook (4 PTS) (K. Leonard 2 AST)</v>
      </c>
      <c r="L281" s="2" t="str">
        <f>HYPERLINK("https://www.nba.com/game/...-vs-...-0022200719/play-by-play?watchFullGame=true", "LAC vs LAL - Q3 11:28.00")</f>
        <v>LAC vs LAL - Q3 11:28.00</v>
      </c>
      <c r="M281">
        <v>5.95</v>
      </c>
      <c r="N281">
        <v>10.56</v>
      </c>
      <c r="O281">
        <v>57.35</v>
      </c>
      <c r="P281">
        <v>-37</v>
      </c>
      <c r="Q281">
        <v>47</v>
      </c>
      <c r="R281">
        <v>10</v>
      </c>
      <c r="S281">
        <v>57</v>
      </c>
      <c r="T281" t="s">
        <v>73</v>
      </c>
    </row>
    <row r="282" spans="1:20" x14ac:dyDescent="0.25">
      <c r="A282">
        <v>22300637</v>
      </c>
      <c r="B282" t="s">
        <v>4</v>
      </c>
      <c r="C282" t="s">
        <v>9</v>
      </c>
      <c r="D282">
        <v>79</v>
      </c>
      <c r="E282">
        <v>63</v>
      </c>
      <c r="F282">
        <v>16</v>
      </c>
      <c r="G282">
        <v>3</v>
      </c>
      <c r="H282" s="1">
        <v>5.0694444444444441E-3</v>
      </c>
      <c r="I282">
        <v>2023</v>
      </c>
      <c r="J282" t="s">
        <v>59</v>
      </c>
      <c r="K282" s="2" t="str">
        <f>HYPERLINK("https://www.nba.com/stats/events?CFID=&amp;CFPARAMS=&amp;GameEventID=384&amp;GameID=0022300637&amp;Season=2023-24&amp;flag=1&amp;title=J.%20Harden%20driving%20floating%20Jump%20Shot%20(19%20PTS)%20(K.%20Leonard%203%20AST)", "J. Harden driving floating Jump Shot (19 PTS) (K. Leonard 3 AST)")</f>
        <v>J. Harden driving floating Jump Shot (19 PTS) (K. Leonard 3 AST)</v>
      </c>
      <c r="L282" s="2" t="str">
        <f>HYPERLINK("https://www.nba.com/game/...-vs-...-0022300637/play-by-play?watchFullGame=true", "LAC vs TOR - Q3 07:18.00")</f>
        <v>LAC vs TOR - Q3 07:18.00</v>
      </c>
      <c r="M282">
        <v>5.34</v>
      </c>
      <c r="N282">
        <v>10.33</v>
      </c>
      <c r="O282">
        <v>44.12</v>
      </c>
      <c r="P282">
        <v>29</v>
      </c>
      <c r="Q282">
        <v>45</v>
      </c>
      <c r="R282">
        <v>10</v>
      </c>
      <c r="S282">
        <v>44</v>
      </c>
      <c r="T282" t="s">
        <v>73</v>
      </c>
    </row>
    <row r="283" spans="1:20" x14ac:dyDescent="0.25">
      <c r="A283">
        <v>22300848</v>
      </c>
      <c r="B283" t="s">
        <v>10</v>
      </c>
      <c r="C283" t="s">
        <v>9</v>
      </c>
      <c r="D283">
        <v>79</v>
      </c>
      <c r="E283">
        <v>63</v>
      </c>
      <c r="F283">
        <v>16</v>
      </c>
      <c r="G283">
        <v>3</v>
      </c>
      <c r="H283" s="1">
        <v>4.5717592592592589E-3</v>
      </c>
      <c r="I283">
        <v>2023</v>
      </c>
      <c r="J283" t="s">
        <v>59</v>
      </c>
      <c r="K283" s="2" t="str">
        <f>HYPERLINK("https://www.nba.com/stats/events?CFID=&amp;CFPARAMS=&amp;GameEventID=398&amp;GameID=0022300848&amp;Season=2023-24&amp;flag=1&amp;title=D.%20Theis%203PT%20%20(9%20PTS)%20(K.%20Leonard%204%20AST)", "D. Theis 3PT  (9 PTS) (K. Leonard 4 AST)")</f>
        <v>D. Theis 3PT  (9 PTS) (K. Leonard 4 AST)</v>
      </c>
      <c r="L283" s="2" t="str">
        <f>HYPERLINK("https://www.nba.com/game/...-vs-...-0022300848/play-by-play?watchFullGame=true", "LAC vs LAL - Q3 06:35.00")</f>
        <v>LAC vs LAL - Q3 06:35.00</v>
      </c>
      <c r="M283">
        <v>23.39</v>
      </c>
      <c r="N283">
        <v>10.56</v>
      </c>
      <c r="O283">
        <v>4.17</v>
      </c>
      <c r="P283">
        <v>229</v>
      </c>
      <c r="Q283">
        <v>47</v>
      </c>
      <c r="R283">
        <v>10</v>
      </c>
      <c r="S283">
        <v>4</v>
      </c>
      <c r="T283" t="s">
        <v>73</v>
      </c>
    </row>
    <row r="284" spans="1:20" x14ac:dyDescent="0.25">
      <c r="A284">
        <v>22000520</v>
      </c>
      <c r="B284" t="s">
        <v>10</v>
      </c>
      <c r="C284" t="s">
        <v>9</v>
      </c>
      <c r="D284">
        <v>98</v>
      </c>
      <c r="E284">
        <v>93</v>
      </c>
      <c r="F284">
        <v>5</v>
      </c>
      <c r="G284">
        <v>4</v>
      </c>
      <c r="H284" s="1">
        <v>3.1597222222222222E-3</v>
      </c>
      <c r="I284">
        <v>2020</v>
      </c>
      <c r="J284" t="s">
        <v>59</v>
      </c>
      <c r="K284" s="2" t="str">
        <f>HYPERLINK("https://www.nba.com/stats/events?CFID=&amp;CFPARAMS=&amp;GameEventID=574&amp;GameID=0022000520&amp;Season=2020-21&amp;flag=1&amp;title=M.%20Morris%20Sr.%2024'%203PT%20%20(11%20PTS)%20(K.%20Leonard%203%20AST)", "M. Morris Sr. 24' 3PT  (11 PTS) (K. Leonard 3 AST)")</f>
        <v>M. Morris Sr. 24' 3PT  (11 PTS) (K. Leonard 3 AST)</v>
      </c>
      <c r="L284" s="2" t="str">
        <f>HYPERLINK("https://www.nba.com/game/...-vs-...-0022000520/play-by-play?watchFullGame=true", "LAC vs MIL - Q4 04:33.00")</f>
        <v>LAC vs MIL - Q4 04:33.00</v>
      </c>
      <c r="M284">
        <v>24.22</v>
      </c>
      <c r="N284">
        <v>10.33</v>
      </c>
      <c r="O284">
        <v>97.62</v>
      </c>
      <c r="P284">
        <v>-238</v>
      </c>
      <c r="Q284">
        <v>45</v>
      </c>
      <c r="R284">
        <v>10</v>
      </c>
      <c r="S284">
        <v>97</v>
      </c>
      <c r="T284" t="s">
        <v>73</v>
      </c>
    </row>
    <row r="285" spans="1:20" x14ac:dyDescent="0.25">
      <c r="A285">
        <v>21900499</v>
      </c>
      <c r="B285" t="s">
        <v>10</v>
      </c>
      <c r="C285" t="s">
        <v>61</v>
      </c>
      <c r="D285">
        <v>103</v>
      </c>
      <c r="E285">
        <v>86</v>
      </c>
      <c r="F285">
        <v>17</v>
      </c>
      <c r="G285">
        <v>4</v>
      </c>
      <c r="H285" s="1">
        <v>7.5231481481481482E-4</v>
      </c>
      <c r="I285">
        <v>2019</v>
      </c>
      <c r="J285" t="s">
        <v>59</v>
      </c>
      <c r="K285" s="2" t="str">
        <f>HYPERLINK("https://www.nba.com/stats/events?CFID=&amp;CFPARAMS=&amp;GameEventID=619&amp;GameID=0021900499&amp;Season=2019-20&amp;flag=1&amp;title=P.%20George%2023'%203PT%20%20(21%20PTS)%20(K.%20Leonard%207%20AST)", "P. George 23' 3PT  (21 PTS) (K. Leonard 7 AST)")</f>
        <v>P. George 23' 3PT  (21 PTS) (K. Leonard 7 AST)</v>
      </c>
      <c r="L285" s="2" t="str">
        <f>HYPERLINK("https://www.nba.com/game/...-vs-...-0021900499/play-by-play?watchFullGame=true", "LAC vs SAC - Q4 01:05.00")</f>
        <v>LAC vs SAC - Q4 01:05.00</v>
      </c>
      <c r="M285">
        <v>23.27</v>
      </c>
      <c r="N285">
        <v>10.99</v>
      </c>
      <c r="O285">
        <v>95.17</v>
      </c>
      <c r="P285">
        <v>-226</v>
      </c>
      <c r="Q285">
        <v>51</v>
      </c>
      <c r="R285">
        <v>10</v>
      </c>
      <c r="S285">
        <v>95</v>
      </c>
      <c r="T285" t="s">
        <v>73</v>
      </c>
    </row>
    <row r="286" spans="1:20" x14ac:dyDescent="0.25">
      <c r="A286">
        <v>22300052</v>
      </c>
      <c r="B286" t="s">
        <v>4</v>
      </c>
      <c r="C286" t="s">
        <v>9</v>
      </c>
      <c r="D286">
        <v>14</v>
      </c>
      <c r="E286">
        <v>33</v>
      </c>
      <c r="F286">
        <v>19</v>
      </c>
      <c r="G286">
        <v>1</v>
      </c>
      <c r="H286" s="1">
        <v>1.1921296296296296E-3</v>
      </c>
      <c r="I286">
        <v>2023</v>
      </c>
      <c r="J286" t="s">
        <v>59</v>
      </c>
      <c r="K286" s="2" t="str">
        <f>HYPERLINK("https://www.nba.com/stats/events?CFID=&amp;CFPARAMS=&amp;GameEventID=118&amp;GameID=0022300052&amp;Season=2023-24&amp;flag=1&amp;title=N.%20Powell%20running%20Jump%20Shot%20(2%20PTS)%20(K.%20Leonard%201%20AST)", "N. Powell running Jump Shot (2 PTS) (K. Leonard 1 AST)")</f>
        <v>N. Powell running Jump Shot (2 PTS) (K. Leonard 1 AST)</v>
      </c>
      <c r="L286" s="2" t="str">
        <f>HYPERLINK("https://www.nba.com/game/...-vs-...-0022300052/play-by-play?watchFullGame=true", "LAC vs NOP - Q1 01:43.00")</f>
        <v>LAC vs NOP - Q1 01:43.00</v>
      </c>
      <c r="M286">
        <v>5.28</v>
      </c>
      <c r="N286">
        <v>10.69</v>
      </c>
      <c r="O286">
        <v>54.41</v>
      </c>
      <c r="P286">
        <v>-22</v>
      </c>
      <c r="Q286">
        <v>48</v>
      </c>
      <c r="R286">
        <v>10</v>
      </c>
      <c r="S286">
        <v>54</v>
      </c>
      <c r="T286" t="s">
        <v>73</v>
      </c>
    </row>
    <row r="287" spans="1:20" x14ac:dyDescent="0.25">
      <c r="A287">
        <v>21900016</v>
      </c>
      <c r="B287" t="s">
        <v>4</v>
      </c>
      <c r="C287" t="s">
        <v>60</v>
      </c>
      <c r="D287">
        <v>4</v>
      </c>
      <c r="E287">
        <v>0</v>
      </c>
      <c r="F287">
        <v>4</v>
      </c>
      <c r="G287">
        <v>1</v>
      </c>
      <c r="H287" s="1">
        <v>7.1180555555555554E-3</v>
      </c>
      <c r="I287">
        <v>2019</v>
      </c>
      <c r="J287" t="s">
        <v>59</v>
      </c>
      <c r="K287" s="2" t="str">
        <f>HYPERLINK("https://www.nba.com/stats/events?CFID=&amp;CFPARAMS=&amp;GameEventID=19&amp;GameID=0021900016&amp;Season=2019-20&amp;flag=1&amp;title=[LAC]%20Zubac%20hook:%20Made%20(4%20PTS)%20assist:%20Leonard%20(1%20AST)", "[LAC] Zubac hook: Made (4 PTS) assist: Leonard (1 AST)")</f>
        <v>[LAC] Zubac hook: Made (4 PTS) assist: Leonard (1 AST)</v>
      </c>
      <c r="L287" s="2" t="str">
        <f>HYPERLINK("https://www.nba.com/game/...-vs-...-0021900016/play-by-play?watchFullGame=true", "LAC vs GSW - Q1 10:15.00")</f>
        <v>LAC vs GSW - Q1 10:15.00</v>
      </c>
      <c r="M287">
        <v>6.03</v>
      </c>
      <c r="N287">
        <v>11.38</v>
      </c>
      <c r="O287">
        <v>48.84</v>
      </c>
      <c r="P287">
        <v>6</v>
      </c>
      <c r="Q287">
        <v>55</v>
      </c>
      <c r="R287">
        <v>11</v>
      </c>
      <c r="S287">
        <v>48</v>
      </c>
      <c r="T287" t="s">
        <v>73</v>
      </c>
    </row>
    <row r="288" spans="1:20" x14ac:dyDescent="0.25">
      <c r="A288">
        <v>22000457</v>
      </c>
      <c r="B288" t="s">
        <v>4</v>
      </c>
      <c r="C288" t="s">
        <v>9</v>
      </c>
      <c r="D288">
        <v>18</v>
      </c>
      <c r="E288">
        <v>13</v>
      </c>
      <c r="F288">
        <v>5</v>
      </c>
      <c r="G288">
        <v>1</v>
      </c>
      <c r="H288" s="1">
        <v>2.9629629629629628E-3</v>
      </c>
      <c r="I288">
        <v>2020</v>
      </c>
      <c r="J288" t="s">
        <v>59</v>
      </c>
      <c r="K288" s="2" t="str">
        <f>HYPERLINK("https://www.nba.com/stats/events?CFID=&amp;CFPARAMS=&amp;GameEventID=88&amp;GameID=0022000457&amp;Season=2020-21&amp;flag=1&amp;title=L.%20Williams%20driving%20floating%20Jump%20Shot%20(2%20PTS)%20(K.%20Leonard%203%20AST)", "L. Williams driving floating Jump Shot (2 PTS) (K. Leonard 3 AST)")</f>
        <v>L. Williams driving floating Jump Shot (2 PTS) (K. Leonard 3 AST)</v>
      </c>
      <c r="L288" s="2" t="str">
        <f>HYPERLINK("https://www.nba.com/game/...-vs-...-0022000457/play-by-play?watchFullGame=true", "LAC vs UTA - Q1 04:16.00")</f>
        <v>LAC vs UTA - Q1 04:16.00</v>
      </c>
      <c r="M288">
        <v>5.93</v>
      </c>
      <c r="N288">
        <v>11.78</v>
      </c>
      <c r="O288">
        <v>52.27</v>
      </c>
      <c r="P288">
        <v>-11</v>
      </c>
      <c r="Q288">
        <v>58</v>
      </c>
      <c r="R288">
        <v>11</v>
      </c>
      <c r="S288">
        <v>52</v>
      </c>
      <c r="T288" t="s">
        <v>73</v>
      </c>
    </row>
    <row r="289" spans="1:20" x14ac:dyDescent="0.25">
      <c r="A289">
        <v>41900234</v>
      </c>
      <c r="B289" t="s">
        <v>4</v>
      </c>
      <c r="C289" t="s">
        <v>60</v>
      </c>
      <c r="D289">
        <v>2</v>
      </c>
      <c r="E289">
        <v>0</v>
      </c>
      <c r="F289">
        <v>2</v>
      </c>
      <c r="G289">
        <v>1</v>
      </c>
      <c r="H289" s="1">
        <v>7.743055555555556E-3</v>
      </c>
      <c r="I289" t="s">
        <v>62</v>
      </c>
      <c r="J289" t="s">
        <v>59</v>
      </c>
      <c r="K289" s="2" t="str">
        <f>HYPERLINK("https://www.nba.com/stats/events?CFID=&amp;CFPARAMS=&amp;GameEventID=15&amp;GameID=0041900234&amp;Season=2019-20&amp;flag=1&amp;title=I.%20Zubac%206'%20hook%20(2%20PTS)%20(K.%20Leonard%201%20AST)", "I. Zubac 6' hook (2 PTS) (K. Leonard 1 AST)")</f>
        <v>I. Zubac 6' hook (2 PTS) (K. Leonard 1 AST)</v>
      </c>
      <c r="L289" s="2" t="str">
        <f>HYPERLINK("https://www.nba.com/game/...-vs-...-0041900234/play-by-play?watchFullGame=true", "LAC vs DEN - Q1 11:09.00")</f>
        <v>LAC vs DEN - Q1 11:09.00</v>
      </c>
      <c r="M289">
        <v>6.17</v>
      </c>
      <c r="N289">
        <v>11.51</v>
      </c>
      <c r="O289">
        <v>48.35</v>
      </c>
      <c r="P289">
        <v>8</v>
      </c>
      <c r="Q289">
        <v>56</v>
      </c>
      <c r="R289">
        <v>11</v>
      </c>
      <c r="S289">
        <v>48</v>
      </c>
      <c r="T289" t="s">
        <v>73</v>
      </c>
    </row>
    <row r="290" spans="1:20" x14ac:dyDescent="0.25">
      <c r="A290">
        <v>22200617</v>
      </c>
      <c r="B290" t="s">
        <v>4</v>
      </c>
      <c r="C290" t="s">
        <v>9</v>
      </c>
      <c r="D290">
        <v>104</v>
      </c>
      <c r="E290">
        <v>93</v>
      </c>
      <c r="F290">
        <v>11</v>
      </c>
      <c r="G290">
        <v>4</v>
      </c>
      <c r="H290" s="1">
        <v>2.2106481481481482E-3</v>
      </c>
      <c r="I290">
        <v>2022</v>
      </c>
      <c r="J290" t="s">
        <v>59</v>
      </c>
      <c r="K290" s="2" t="str">
        <f>HYPERLINK("https://www.nba.com/stats/events?CFID=&amp;CFPARAMS=&amp;GameEventID=581&amp;GameID=0022200617&amp;Season=2022-23&amp;flag=1&amp;title=T.%20Mann%20driving%20floating%20Jump%20Shot%20(12%20PTS)%20(K.%20Leonard%204%20AST)", "T. Mann driving floating Jump Shot (12 PTS) (K. Leonard 4 AST)")</f>
        <v>T. Mann driving floating Jump Shot (12 PTS) (K. Leonard 4 AST)</v>
      </c>
      <c r="L290" s="2" t="str">
        <f>HYPERLINK("https://www.nba.com/game/...-vs-...-0022200617/play-by-play?watchFullGame=true", "LAC vs DAL - Q4 03:11.00")</f>
        <v>LAC vs DAL - Q4 03:11.00</v>
      </c>
      <c r="M290">
        <v>5.31</v>
      </c>
      <c r="N290">
        <v>11.22</v>
      </c>
      <c r="O290">
        <v>50.49</v>
      </c>
      <c r="P290">
        <v>-2</v>
      </c>
      <c r="Q290">
        <v>53</v>
      </c>
      <c r="R290">
        <v>11</v>
      </c>
      <c r="S290">
        <v>50</v>
      </c>
      <c r="T290" t="s">
        <v>73</v>
      </c>
    </row>
    <row r="291" spans="1:20" x14ac:dyDescent="0.25">
      <c r="A291">
        <v>22200735</v>
      </c>
      <c r="B291" t="s">
        <v>10</v>
      </c>
      <c r="C291" t="s">
        <v>9</v>
      </c>
      <c r="D291">
        <v>98</v>
      </c>
      <c r="E291">
        <v>68</v>
      </c>
      <c r="F291">
        <v>30</v>
      </c>
      <c r="G291">
        <v>3</v>
      </c>
      <c r="H291" s="1">
        <v>3.5995370370370369E-3</v>
      </c>
      <c r="I291">
        <v>2022</v>
      </c>
      <c r="J291" t="s">
        <v>59</v>
      </c>
      <c r="K291" s="2" t="str">
        <f>HYPERLINK("https://www.nba.com/stats/events?CFID=&amp;CFPARAMS=&amp;GameEventID=415&amp;GameID=0022200735&amp;Season=2022-23&amp;flag=1&amp;title=N.%20Batum%203PT%20%20(9%20PTS)%20(K.%20Leonard%207%20AST)", "N. Batum 3PT  (9 PTS) (K. Leonard 7 AST)")</f>
        <v>N. Batum 3PT  (9 PTS) (K. Leonard 7 AST)</v>
      </c>
      <c r="L291" s="2" t="str">
        <f>HYPERLINK("https://www.nba.com/game/...-vs-...-0022200735/play-by-play?watchFullGame=true", "LAC vs SAS - Q3 05:11.00")</f>
        <v>LAC vs SAS - Q3 05:11.00</v>
      </c>
      <c r="M291">
        <v>23.02</v>
      </c>
      <c r="N291">
        <v>11.04</v>
      </c>
      <c r="O291">
        <v>5.12</v>
      </c>
      <c r="P291">
        <v>224</v>
      </c>
      <c r="Q291">
        <v>51</v>
      </c>
      <c r="R291">
        <v>11</v>
      </c>
      <c r="S291">
        <v>5</v>
      </c>
      <c r="T291" t="s">
        <v>73</v>
      </c>
    </row>
    <row r="292" spans="1:20" x14ac:dyDescent="0.25">
      <c r="A292">
        <v>22000488</v>
      </c>
      <c r="B292" t="s">
        <v>10</v>
      </c>
      <c r="C292" t="s">
        <v>9</v>
      </c>
      <c r="D292">
        <v>119</v>
      </c>
      <c r="E292">
        <v>102</v>
      </c>
      <c r="F292">
        <v>17</v>
      </c>
      <c r="G292">
        <v>4</v>
      </c>
      <c r="H292" s="1">
        <v>4.2245370370370371E-3</v>
      </c>
      <c r="I292">
        <v>2020</v>
      </c>
      <c r="J292" t="s">
        <v>59</v>
      </c>
      <c r="K292" s="2" t="str">
        <f>HYPERLINK("https://www.nba.com/stats/events?CFID=&amp;CFPARAMS=&amp;GameEventID=532&amp;GameID=0022000488&amp;Season=2020-21&amp;flag=1&amp;title=R.%20Jackson%203PT%20%20(17%20PTS)%20(K.%20Leonard%204%20AST)", "R. Jackson 3PT  (17 PTS) (K. Leonard 4 AST)")</f>
        <v>R. Jackson 3PT  (17 PTS) (K. Leonard 4 AST)</v>
      </c>
      <c r="L292" s="2" t="str">
        <f>HYPERLINK("https://www.nba.com/game/...-vs-...-0022000488/play-by-play?watchFullGame=true", "LAC vs WAS - Q4 06:05.00")</f>
        <v>LAC vs WAS - Q4 06:05.00</v>
      </c>
      <c r="M292">
        <v>23.64</v>
      </c>
      <c r="N292">
        <v>11.38</v>
      </c>
      <c r="O292">
        <v>3.99</v>
      </c>
      <c r="P292">
        <v>230</v>
      </c>
      <c r="Q292">
        <v>55</v>
      </c>
      <c r="R292">
        <v>11</v>
      </c>
      <c r="S292">
        <v>3</v>
      </c>
      <c r="T292" t="s">
        <v>73</v>
      </c>
    </row>
    <row r="293" spans="1:20" x14ac:dyDescent="0.25">
      <c r="A293">
        <v>22300074</v>
      </c>
      <c r="B293" t="s">
        <v>4</v>
      </c>
      <c r="C293" t="s">
        <v>65</v>
      </c>
      <c r="D293">
        <v>110</v>
      </c>
      <c r="E293">
        <v>89</v>
      </c>
      <c r="F293">
        <v>21</v>
      </c>
      <c r="G293">
        <v>4</v>
      </c>
      <c r="H293" s="1">
        <v>4.2708333333333331E-3</v>
      </c>
      <c r="I293">
        <v>2023</v>
      </c>
      <c r="J293" t="s">
        <v>59</v>
      </c>
      <c r="K293" s="2" t="str">
        <f>HYPERLINK("https://www.nba.com/stats/events?CFID=&amp;CFPARAMS=&amp;GameEventID=600&amp;GameID=0022300074&amp;Season=2023-24&amp;flag=1&amp;title=P.%20George%20driving%20DUNK%20(24%20PTS)%20(K.%20Leonard%206%20AST)", "P. George driving DUNK (24 PTS) (K. Leonard 6 AST)")</f>
        <v>P. George driving DUNK (24 PTS) (K. Leonard 6 AST)</v>
      </c>
      <c r="L293" s="2" t="str">
        <f>HYPERLINK("https://www.nba.com/game/...-vs-...-0022300074/play-by-play?watchFullGame=true", "LAC vs POR - Q4 06:09.00")</f>
        <v>LAC vs POR - Q4 06:09.00</v>
      </c>
      <c r="M293">
        <v>5.22</v>
      </c>
      <c r="N293">
        <v>11.09</v>
      </c>
      <c r="O293">
        <v>48.53</v>
      </c>
      <c r="P293">
        <v>7</v>
      </c>
      <c r="Q293">
        <v>52</v>
      </c>
      <c r="R293">
        <v>11</v>
      </c>
      <c r="S293">
        <v>48</v>
      </c>
      <c r="T293" t="s">
        <v>73</v>
      </c>
    </row>
    <row r="294" spans="1:20" x14ac:dyDescent="0.25">
      <c r="A294">
        <v>22300280</v>
      </c>
      <c r="B294" t="s">
        <v>4</v>
      </c>
      <c r="C294" t="s">
        <v>9</v>
      </c>
      <c r="D294">
        <v>48</v>
      </c>
      <c r="E294">
        <v>57</v>
      </c>
      <c r="F294">
        <v>9</v>
      </c>
      <c r="G294">
        <v>2</v>
      </c>
      <c r="H294" s="1">
        <v>1.4351851851851852E-3</v>
      </c>
      <c r="I294">
        <v>2023</v>
      </c>
      <c r="J294" t="s">
        <v>59</v>
      </c>
      <c r="K294" s="2" t="str">
        <f>HYPERLINK("https://www.nba.com/stats/events?CFID=&amp;CFPARAMS=&amp;GameEventID=285&amp;GameID=0022300280&amp;Season=2023-24&amp;flag=1&amp;title=D.%20Theis%207'%20turnaround%20Jump%20Shot%20(4%20PTS)%20(K.%20Leonard%202%20AST)", "D. Theis 7' turnaround Jump Shot (4 PTS) (K. Leonard 2 AST)")</f>
        <v>D. Theis 7' turnaround Jump Shot (4 PTS) (K. Leonard 2 AST)</v>
      </c>
      <c r="L294" s="2" t="str">
        <f>HYPERLINK("https://www.nba.com/game/...-vs-...-0022300280/play-by-play?watchFullGame=true", "LAC vs GSW - Q2 02:04.00")</f>
        <v>LAC vs GSW - Q2 02:04.00</v>
      </c>
      <c r="M294">
        <v>7.21</v>
      </c>
      <c r="N294">
        <v>11.74</v>
      </c>
      <c r="O294">
        <v>58.58</v>
      </c>
      <c r="P294">
        <v>-43</v>
      </c>
      <c r="Q294">
        <v>58</v>
      </c>
      <c r="R294">
        <v>11</v>
      </c>
      <c r="S294">
        <v>58</v>
      </c>
      <c r="T294" t="s">
        <v>73</v>
      </c>
    </row>
    <row r="295" spans="1:20" x14ac:dyDescent="0.25">
      <c r="A295">
        <v>22300865</v>
      </c>
      <c r="B295" t="s">
        <v>4</v>
      </c>
      <c r="C295" t="s">
        <v>9</v>
      </c>
      <c r="D295">
        <v>107</v>
      </c>
      <c r="E295">
        <v>81</v>
      </c>
      <c r="F295">
        <v>26</v>
      </c>
      <c r="G295">
        <v>3</v>
      </c>
      <c r="H295" s="1">
        <v>1.1458333333333333E-3</v>
      </c>
      <c r="I295">
        <v>2023</v>
      </c>
      <c r="J295" t="s">
        <v>59</v>
      </c>
      <c r="K295" s="2" t="str">
        <f>HYPERLINK("https://www.nba.com/stats/events?CFID=&amp;CFPARAMS=&amp;GameEventID=465&amp;GameID=0022300865&amp;Season=2023-24&amp;flag=1&amp;title=A.%20Coffey%2014'%20pullup%20Jump%20Shot%20(5%20PTS)%20(K.%20Leonard%204%20AST)", "A. Coffey 14' pullup Jump Shot (5 PTS) (K. Leonard 4 AST)")</f>
        <v>A. Coffey 14' pullup Jump Shot (5 PTS) (K. Leonard 4 AST)</v>
      </c>
      <c r="L295" s="2" t="str">
        <f>HYPERLINK("https://www.nba.com/game/...-vs-...-0022300865/play-by-play?watchFullGame=true", "LAC vs WAS - Q3 01:39.00")</f>
        <v>LAC vs WAS - Q3 01:39.00</v>
      </c>
      <c r="M295">
        <v>14.92</v>
      </c>
      <c r="N295">
        <v>11.48</v>
      </c>
      <c r="O295">
        <v>77.7</v>
      </c>
      <c r="P295">
        <v>-138</v>
      </c>
      <c r="Q295">
        <v>55</v>
      </c>
      <c r="R295">
        <v>11</v>
      </c>
      <c r="S295">
        <v>77</v>
      </c>
      <c r="T295" t="s">
        <v>73</v>
      </c>
    </row>
    <row r="296" spans="1:20" x14ac:dyDescent="0.25">
      <c r="A296">
        <v>22000966</v>
      </c>
      <c r="B296" t="s">
        <v>10</v>
      </c>
      <c r="C296" t="s">
        <v>9</v>
      </c>
      <c r="D296">
        <v>101</v>
      </c>
      <c r="E296">
        <v>107</v>
      </c>
      <c r="F296">
        <v>6</v>
      </c>
      <c r="G296">
        <v>4</v>
      </c>
      <c r="H296" s="1">
        <v>6.4699074074074073E-4</v>
      </c>
      <c r="I296">
        <v>2020</v>
      </c>
      <c r="J296" t="s">
        <v>59</v>
      </c>
      <c r="K296" s="2" t="str">
        <f>HYPERLINK("https://www.nba.com/stats/events?CFID=&amp;CFPARAMS=&amp;GameEventID=593&amp;GameID=0022000966&amp;Season=2020-21&amp;flag=1&amp;title=R.%20Jackson%203PT%20%20(15%20PTS)%20(K.%20Leonard%206%20AST)", "R. Jackson 3PT  (15 PTS) (K. Leonard 6 AST)")</f>
        <v>R. Jackson 3PT  (15 PTS) (K. Leonard 6 AST)</v>
      </c>
      <c r="L296" s="2" t="str">
        <f>HYPERLINK("https://www.nba.com/game/...-vs-...-0022000966/play-by-play?watchFullGame=true", "LAC vs DEN - Q4 00:55.90")</f>
        <v>LAC vs DEN - Q4 00:55.90</v>
      </c>
      <c r="M296">
        <v>23.2</v>
      </c>
      <c r="N296">
        <v>11.78</v>
      </c>
      <c r="O296">
        <v>94.92</v>
      </c>
      <c r="P296">
        <v>-225</v>
      </c>
      <c r="Q296">
        <v>58</v>
      </c>
      <c r="R296">
        <v>11</v>
      </c>
      <c r="S296">
        <v>94</v>
      </c>
      <c r="T296" t="s">
        <v>73</v>
      </c>
    </row>
    <row r="297" spans="1:20" x14ac:dyDescent="0.25">
      <c r="A297">
        <v>22200991</v>
      </c>
      <c r="B297" t="s">
        <v>4</v>
      </c>
      <c r="C297" t="s">
        <v>9</v>
      </c>
      <c r="D297">
        <v>79</v>
      </c>
      <c r="E297">
        <v>68</v>
      </c>
      <c r="F297">
        <v>11</v>
      </c>
      <c r="G297">
        <v>3</v>
      </c>
      <c r="H297" s="1">
        <v>1.6203703703703703E-3</v>
      </c>
      <c r="I297">
        <v>2022</v>
      </c>
      <c r="J297" t="s">
        <v>59</v>
      </c>
      <c r="K297" s="2" t="str">
        <f>HYPERLINK("https://www.nba.com/stats/events?CFID=&amp;CFPARAMS=&amp;GameEventID=404&amp;GameID=0022200991&amp;Season=2022-23&amp;flag=1&amp;title=P.%20George%2016'%20Jump%20Shot%20(17%20PTS)%20(K.%20Leonard%204%20AST)", "P. George 16' Jump Shot (17 PTS) (K. Leonard 4 AST)")</f>
        <v>P. George 16' Jump Shot (17 PTS) (K. Leonard 4 AST)</v>
      </c>
      <c r="L297" s="2" t="str">
        <f>HYPERLINK("https://www.nba.com/game/...-vs-...-0022200991/play-by-play?watchFullGame=true", "LAC vs TOR - Q3 02:20.00")</f>
        <v>LAC vs TOR - Q3 02:20.00</v>
      </c>
      <c r="M297">
        <v>16.14</v>
      </c>
      <c r="N297">
        <v>11.35</v>
      </c>
      <c r="O297">
        <v>19.61</v>
      </c>
      <c r="P297">
        <v>152</v>
      </c>
      <c r="Q297">
        <v>54</v>
      </c>
      <c r="R297">
        <v>11</v>
      </c>
      <c r="S297">
        <v>19</v>
      </c>
      <c r="T297" t="s">
        <v>73</v>
      </c>
    </row>
    <row r="298" spans="1:20" x14ac:dyDescent="0.25">
      <c r="A298">
        <v>22200766</v>
      </c>
      <c r="B298" t="s">
        <v>4</v>
      </c>
      <c r="C298" t="s">
        <v>9</v>
      </c>
      <c r="D298">
        <v>14</v>
      </c>
      <c r="E298">
        <v>23</v>
      </c>
      <c r="F298">
        <v>9</v>
      </c>
      <c r="G298">
        <v>1</v>
      </c>
      <c r="H298" s="1">
        <v>2.5925925925925925E-3</v>
      </c>
      <c r="I298">
        <v>2022</v>
      </c>
      <c r="J298" t="s">
        <v>59</v>
      </c>
      <c r="K298" s="2" t="str">
        <f>HYPERLINK("https://www.nba.com/stats/events?CFID=&amp;CFPARAMS=&amp;GameEventID=88&amp;GameID=0022200766&amp;Season=2022-23&amp;flag=1&amp;title=N.%20Powell%206'%20driving%20floating%20Jump%20Shot%20(2%20PTS)%20(K.%20Leonard%202%20AST)", "N. Powell 6' driving floating Jump Shot (2 PTS) (K. Leonard 2 AST)")</f>
        <v>N. Powell 6' driving floating Jump Shot (2 PTS) (K. Leonard 2 AST)</v>
      </c>
      <c r="L298" s="2" t="str">
        <f>HYPERLINK("https://www.nba.com/game/...-vs-...-0022200766/play-by-play?watchFullGame=true", "LAC vs CHI - Q1 03:44.00")</f>
        <v>LAC vs CHI - Q1 03:44.00</v>
      </c>
      <c r="M298">
        <v>6.22</v>
      </c>
      <c r="N298">
        <v>11.91</v>
      </c>
      <c r="O298">
        <v>53.68</v>
      </c>
      <c r="P298">
        <v>-18</v>
      </c>
      <c r="Q298">
        <v>59</v>
      </c>
      <c r="R298">
        <v>11</v>
      </c>
      <c r="S298">
        <v>53</v>
      </c>
      <c r="T298" t="s">
        <v>73</v>
      </c>
    </row>
    <row r="299" spans="1:20" x14ac:dyDescent="0.25">
      <c r="A299">
        <v>21900603</v>
      </c>
      <c r="B299" t="s">
        <v>4</v>
      </c>
      <c r="C299" t="s">
        <v>61</v>
      </c>
      <c r="D299">
        <v>24</v>
      </c>
      <c r="E299">
        <v>20</v>
      </c>
      <c r="F299">
        <v>4</v>
      </c>
      <c r="G299">
        <v>1</v>
      </c>
      <c r="H299" s="1">
        <v>3.0092592592592593E-3</v>
      </c>
      <c r="I299">
        <v>2019</v>
      </c>
      <c r="J299" t="s">
        <v>59</v>
      </c>
      <c r="K299" s="2" t="str">
        <f>HYPERLINK("https://www.nba.com/stats/events?CFID=&amp;CFPARAMS=&amp;GameEventID=92&amp;GameID=0021900603&amp;Season=2019-20&amp;flag=1&amp;title=L.%20Williams%2010'%20jumpshot%20(2%20PTS)%20(K.%20Leonard%202%20AST)", "L. Williams 10' jumpshot (2 PTS) (K. Leonard 2 AST)")</f>
        <v>L. Williams 10' jumpshot (2 PTS) (K. Leonard 2 AST)</v>
      </c>
      <c r="L299" s="2" t="str">
        <f>HYPERLINK("https://www.nba.com/game/...-vs-...-0021900603/play-by-play?watchFullGame=true", "LAC vs CLE - Q1 04:20.00")</f>
        <v>LAC vs CLE - Q1 04:20.00</v>
      </c>
      <c r="M299">
        <v>9.7899999999999991</v>
      </c>
      <c r="N299">
        <v>11.35</v>
      </c>
      <c r="O299">
        <v>34.49</v>
      </c>
      <c r="P299">
        <v>78</v>
      </c>
      <c r="Q299">
        <v>54</v>
      </c>
      <c r="R299">
        <v>11</v>
      </c>
      <c r="S299">
        <v>34</v>
      </c>
      <c r="T299" t="s">
        <v>73</v>
      </c>
    </row>
    <row r="300" spans="1:20" x14ac:dyDescent="0.25">
      <c r="A300">
        <v>21900626</v>
      </c>
      <c r="B300" t="s">
        <v>4</v>
      </c>
      <c r="C300" t="s">
        <v>61</v>
      </c>
      <c r="D300">
        <v>60</v>
      </c>
      <c r="E300">
        <v>59</v>
      </c>
      <c r="F300">
        <v>1</v>
      </c>
      <c r="G300">
        <v>2</v>
      </c>
      <c r="H300" s="1">
        <v>3.0324074074074073E-3</v>
      </c>
      <c r="I300">
        <v>2019</v>
      </c>
      <c r="J300" t="s">
        <v>59</v>
      </c>
      <c r="K300" s="2" t="str">
        <f>HYPERLINK("https://www.nba.com/stats/events?CFID=&amp;CFPARAMS=&amp;GameEventID=295&amp;GameID=0021900626&amp;Season=2019-20&amp;flag=1&amp;title=R.%20McGruder%2010'%20jumpshot%20(4%20PTS)%20(K.%20Leonard%204%20AST)", "R. McGruder 10' jumpshot (4 PTS) (K. Leonard 4 AST)")</f>
        <v>R. McGruder 10' jumpshot (4 PTS) (K. Leonard 4 AST)</v>
      </c>
      <c r="L300" s="2" t="str">
        <f>HYPERLINK("https://www.nba.com/game/...-vs-...-0021900626/play-by-play?watchFullGame=true", "LAC vs NOP - Q2 04:22.00")</f>
        <v>LAC vs NOP - Q2 04:22.00</v>
      </c>
      <c r="M300">
        <v>9.8800000000000008</v>
      </c>
      <c r="N300">
        <v>12.96</v>
      </c>
      <c r="O300">
        <v>37.08</v>
      </c>
      <c r="P300">
        <v>65</v>
      </c>
      <c r="Q300">
        <v>69</v>
      </c>
      <c r="R300">
        <v>12</v>
      </c>
      <c r="S300">
        <v>37</v>
      </c>
      <c r="T300" t="s">
        <v>73</v>
      </c>
    </row>
    <row r="301" spans="1:20" x14ac:dyDescent="0.25">
      <c r="A301">
        <v>21900002</v>
      </c>
      <c r="B301" t="s">
        <v>4</v>
      </c>
      <c r="C301" t="s">
        <v>9</v>
      </c>
      <c r="D301">
        <v>74</v>
      </c>
      <c r="E301">
        <v>66</v>
      </c>
      <c r="F301">
        <v>8</v>
      </c>
      <c r="G301">
        <v>3</v>
      </c>
      <c r="H301" s="1">
        <v>4.8032407407407407E-3</v>
      </c>
      <c r="I301">
        <v>2019</v>
      </c>
      <c r="J301" t="s">
        <v>59</v>
      </c>
      <c r="K301" s="2" t="str">
        <f>HYPERLINK("https://www.nba.com/stats/events?CFID=&amp;CFPARAMS=&amp;GameEventID=419&amp;GameID=0021900002&amp;Season=2019-20&amp;flag=1&amp;title=L.%20Williams%207'%20driving%20floating%20Jump%20Shot%20(15%20PTS)%20(K.%20Leonard%204%20AST)", "L. Williams 7' driving floating Jump Shot (15 PTS) (K. Leonard 4 AST)")</f>
        <v>L. Williams 7' driving floating Jump Shot (15 PTS) (K. Leonard 4 AST)</v>
      </c>
      <c r="L301" s="2" t="str">
        <f>HYPERLINK("https://www.nba.com/game/...-vs-...-0021900002/play-by-play?watchFullGame=true", "LAC vs LAL - Q3 06:55.00")</f>
        <v>LAC vs LAL - Q3 06:55.00</v>
      </c>
      <c r="M301">
        <v>7.43</v>
      </c>
      <c r="N301">
        <v>12.8</v>
      </c>
      <c r="O301">
        <v>52.38</v>
      </c>
      <c r="P301">
        <v>-12</v>
      </c>
      <c r="Q301">
        <v>68</v>
      </c>
      <c r="R301">
        <v>12</v>
      </c>
      <c r="S301">
        <v>52</v>
      </c>
      <c r="T301" t="s">
        <v>73</v>
      </c>
    </row>
    <row r="302" spans="1:20" x14ac:dyDescent="0.25">
      <c r="A302">
        <v>22200902</v>
      </c>
      <c r="B302" t="s">
        <v>4</v>
      </c>
      <c r="C302" t="s">
        <v>9</v>
      </c>
      <c r="D302">
        <v>109</v>
      </c>
      <c r="E302">
        <v>100</v>
      </c>
      <c r="F302">
        <v>9</v>
      </c>
      <c r="G302">
        <v>3</v>
      </c>
      <c r="H302" s="1">
        <v>1.6203703703703703E-3</v>
      </c>
      <c r="I302">
        <v>2022</v>
      </c>
      <c r="J302" t="s">
        <v>59</v>
      </c>
      <c r="K302" s="2" t="str">
        <f>HYPERLINK("https://www.nba.com/stats/events?CFID=&amp;CFPARAMS=&amp;GameEventID=461&amp;GameID=0022200902&amp;Season=2022-23&amp;flag=1&amp;title=M.%20Morris%20Sr.%206'%20pullup%20Jump%20Shot%20(9%20PTS)%20(K.%20Leonard%202%20AST)", "M. Morris Sr. 6' pullup Jump Shot (9 PTS) (K. Leonard 2 AST)")</f>
        <v>M. Morris Sr. 6' pullup Jump Shot (9 PTS) (K. Leonard 2 AST)</v>
      </c>
      <c r="L302" s="2" t="str">
        <f>HYPERLINK("https://www.nba.com/game/...-vs-...-0022200902/play-by-play?watchFullGame=true", "LAC vs SAC - Q3 02:20.00")</f>
        <v>LAC vs SAC - Q3 02:20.00</v>
      </c>
      <c r="M302">
        <v>6.56</v>
      </c>
      <c r="N302">
        <v>12.01</v>
      </c>
      <c r="O302">
        <v>44.85</v>
      </c>
      <c r="P302">
        <v>26</v>
      </c>
      <c r="Q302">
        <v>60</v>
      </c>
      <c r="R302">
        <v>12</v>
      </c>
      <c r="S302">
        <v>44</v>
      </c>
      <c r="T302" t="s">
        <v>73</v>
      </c>
    </row>
    <row r="303" spans="1:20" x14ac:dyDescent="0.25">
      <c r="A303">
        <v>21900002</v>
      </c>
      <c r="B303" t="s">
        <v>10</v>
      </c>
      <c r="C303" t="s">
        <v>9</v>
      </c>
      <c r="D303">
        <v>92</v>
      </c>
      <c r="E303">
        <v>85</v>
      </c>
      <c r="F303">
        <v>7</v>
      </c>
      <c r="G303">
        <v>4</v>
      </c>
      <c r="H303" s="1">
        <v>6.7592592592592591E-3</v>
      </c>
      <c r="I303">
        <v>2019</v>
      </c>
      <c r="J303" t="s">
        <v>59</v>
      </c>
      <c r="K303" s="2" t="str">
        <f>HYPERLINK("https://www.nba.com/stats/events?CFID=&amp;CFPARAMS=&amp;GameEventID=541&amp;GameID=0021900002&amp;Season=2019-20&amp;flag=1&amp;title=M.%20Harkless%2024'%203PT%20%20(10%20PTS)%20(K.%20Leonard%205%20AST)", "M. Harkless 24' 3PT  (10 PTS) (K. Leonard 5 AST)")</f>
        <v>M. Harkless 24' 3PT  (10 PTS) (K. Leonard 5 AST)</v>
      </c>
      <c r="L303" s="2" t="str">
        <f>HYPERLINK("https://www.nba.com/game/...-vs-...-0021900002/play-by-play?watchFullGame=true", "LAC vs LAL - Q4 09:44.00")</f>
        <v>LAC vs LAL - Q4 09:44.00</v>
      </c>
      <c r="M303">
        <v>24.1</v>
      </c>
      <c r="N303">
        <v>12.66</v>
      </c>
      <c r="O303">
        <v>96.01</v>
      </c>
      <c r="P303">
        <v>-230</v>
      </c>
      <c r="Q303">
        <v>67</v>
      </c>
      <c r="R303">
        <v>12</v>
      </c>
      <c r="S303">
        <v>96</v>
      </c>
      <c r="T303" t="s">
        <v>73</v>
      </c>
    </row>
    <row r="304" spans="1:20" x14ac:dyDescent="0.25">
      <c r="A304">
        <v>22000387</v>
      </c>
      <c r="B304" t="s">
        <v>4</v>
      </c>
      <c r="C304" t="s">
        <v>9</v>
      </c>
      <c r="D304">
        <v>88</v>
      </c>
      <c r="E304">
        <v>84</v>
      </c>
      <c r="F304">
        <v>4</v>
      </c>
      <c r="G304">
        <v>4</v>
      </c>
      <c r="H304" s="1">
        <v>6.053240740740741E-3</v>
      </c>
      <c r="I304">
        <v>2020</v>
      </c>
      <c r="J304" t="s">
        <v>59</v>
      </c>
      <c r="K304" s="2" t="str">
        <f>HYPERLINK("https://www.nba.com/stats/events?CFID=&amp;CFPARAMS=&amp;GameEventID=533&amp;GameID=0022000387&amp;Season=2020-21&amp;flag=1&amp;title=L.%20Williams%206'%20driving%20floating%20Jump%20Shot%20(20%20PTS)%20(K.%20Leonard%205%20AST)", "L. Williams 6' driving floating Jump Shot (20 PTS) (K. Leonard 5 AST)")</f>
        <v>L. Williams 6' driving floating Jump Shot (20 PTS) (K. Leonard 5 AST)</v>
      </c>
      <c r="L304" s="2" t="str">
        <f>HYPERLINK("https://www.nba.com/game/...-vs-...-0022000387/play-by-play?watchFullGame=true", "LAC vs MIN - Q4 08:43.00")</f>
        <v>LAC vs MIN - Q4 08:43.00</v>
      </c>
      <c r="M304">
        <v>6.87</v>
      </c>
      <c r="N304">
        <v>12.7</v>
      </c>
      <c r="O304">
        <v>46.88</v>
      </c>
      <c r="P304">
        <v>16</v>
      </c>
      <c r="Q304">
        <v>67</v>
      </c>
      <c r="R304">
        <v>12</v>
      </c>
      <c r="S304">
        <v>46</v>
      </c>
      <c r="T304" t="s">
        <v>73</v>
      </c>
    </row>
    <row r="305" spans="1:20" x14ac:dyDescent="0.25">
      <c r="A305">
        <v>22300114</v>
      </c>
      <c r="B305" t="s">
        <v>4</v>
      </c>
      <c r="C305" t="s">
        <v>9</v>
      </c>
      <c r="D305">
        <v>53</v>
      </c>
      <c r="E305">
        <v>56</v>
      </c>
      <c r="F305">
        <v>3</v>
      </c>
      <c r="G305">
        <v>3</v>
      </c>
      <c r="H305" s="1">
        <v>6.3541666666666668E-3</v>
      </c>
      <c r="I305">
        <v>2023</v>
      </c>
      <c r="J305" t="s">
        <v>59</v>
      </c>
      <c r="K305" s="2" t="str">
        <f>HYPERLINK("https://www.nba.com/stats/events?CFID=&amp;CFPARAMS=&amp;GameEventID=379&amp;GameID=0022300114&amp;Season=2023-24&amp;flag=1&amp;title=R.%20Westbrook%206'%20running%20pullup%20Jump%20Shot%20(6%20PTS)%20(K.%20Leonard%203%20AST)", "R. Westbrook 6' running pullup Jump Shot (6 PTS) (K. Leonard 3 AST)")</f>
        <v>R. Westbrook 6' running pullup Jump Shot (6 PTS) (K. Leonard 3 AST)</v>
      </c>
      <c r="L305" s="2" t="str">
        <f>HYPERLINK("https://www.nba.com/game/...-vs-...-0022300114/play-by-play?watchFullGame=true", "LAC vs ORL - Q3 09:09.00")</f>
        <v>LAC vs ORL - Q3 09:09.00</v>
      </c>
      <c r="M305">
        <v>6.47</v>
      </c>
      <c r="N305">
        <v>12.4</v>
      </c>
      <c r="O305">
        <v>51.72</v>
      </c>
      <c r="P305">
        <v>-9</v>
      </c>
      <c r="Q305">
        <v>64</v>
      </c>
      <c r="R305">
        <v>12</v>
      </c>
      <c r="S305">
        <v>51</v>
      </c>
      <c r="T305" t="s">
        <v>73</v>
      </c>
    </row>
    <row r="306" spans="1:20" x14ac:dyDescent="0.25">
      <c r="A306">
        <v>22200480</v>
      </c>
      <c r="B306" t="s">
        <v>10</v>
      </c>
      <c r="C306" t="s">
        <v>9</v>
      </c>
      <c r="D306">
        <v>108</v>
      </c>
      <c r="E306">
        <v>107</v>
      </c>
      <c r="F306">
        <v>1</v>
      </c>
      <c r="G306">
        <v>4</v>
      </c>
      <c r="H306" s="1">
        <v>2.7777777777777779E-3</v>
      </c>
      <c r="I306">
        <v>2022</v>
      </c>
      <c r="J306" t="s">
        <v>59</v>
      </c>
      <c r="K306" s="2" t="str">
        <f>HYPERLINK("https://www.nba.com/stats/events?CFID=&amp;CFPARAMS=&amp;GameEventID=542&amp;GameID=0022200480&amp;Season=2022-23&amp;flag=1&amp;title=N.%20Batum%203PT%20%20(10%20PTS)%20(K.%20Leonard%205%20AST)", "N. Batum 3PT  (10 PTS) (K. Leonard 5 AST)")</f>
        <v>N. Batum 3PT  (10 PTS) (K. Leonard 5 AST)</v>
      </c>
      <c r="L306" s="2" t="str">
        <f>HYPERLINK("https://www.nba.com/game/...-vs-...-0022200480/play-by-play?watchFullGame=true", "LAC vs PHI - Q4 04:00.00")</f>
        <v>LAC vs PHI - Q4 04:00.00</v>
      </c>
      <c r="M306">
        <v>23.4</v>
      </c>
      <c r="N306">
        <v>12.66</v>
      </c>
      <c r="O306">
        <v>94.85</v>
      </c>
      <c r="P306">
        <v>-224</v>
      </c>
      <c r="Q306">
        <v>67</v>
      </c>
      <c r="R306">
        <v>12</v>
      </c>
      <c r="S306">
        <v>94</v>
      </c>
      <c r="T306" t="s">
        <v>73</v>
      </c>
    </row>
    <row r="307" spans="1:20" x14ac:dyDescent="0.25">
      <c r="A307">
        <v>22200687</v>
      </c>
      <c r="B307" t="s">
        <v>4</v>
      </c>
      <c r="C307" t="s">
        <v>9</v>
      </c>
      <c r="D307">
        <v>110</v>
      </c>
      <c r="E307">
        <v>105</v>
      </c>
      <c r="F307">
        <v>5</v>
      </c>
      <c r="G307">
        <v>4</v>
      </c>
      <c r="H307" s="1">
        <v>4.9537037037037041E-3</v>
      </c>
      <c r="I307">
        <v>2022</v>
      </c>
      <c r="J307" t="s">
        <v>59</v>
      </c>
      <c r="K307" s="2" t="str">
        <f>HYPERLINK("https://www.nba.com/stats/events?CFID=&amp;CFPARAMS=&amp;GameEventID=481&amp;GameID=0022200687&amp;Season=2022-23&amp;flag=1&amp;title=N.%20Powell%206'%20driving%20floating%20Jump%20Shot%20(22%20PTS)%20(K.%20Leonard%207%20AST)", "N. Powell 6' driving floating Jump Shot (22 PTS) (K. Leonard 7 AST)")</f>
        <v>N. Powell 6' driving floating Jump Shot (22 PTS) (K. Leonard 7 AST)</v>
      </c>
      <c r="L307" s="2" t="str">
        <f>HYPERLINK("https://www.nba.com/game/...-vs-...-0022200687/play-by-play?watchFullGame=true", "LAC vs SAS - Q4 07:08.00")</f>
        <v>LAC vs SAS - Q4 07:08.00</v>
      </c>
      <c r="M307">
        <v>6.31</v>
      </c>
      <c r="N307">
        <v>12.3</v>
      </c>
      <c r="O307">
        <v>50.25</v>
      </c>
      <c r="P307">
        <v>-1</v>
      </c>
      <c r="Q307">
        <v>63</v>
      </c>
      <c r="R307">
        <v>12</v>
      </c>
      <c r="S307">
        <v>50</v>
      </c>
      <c r="T307" t="s">
        <v>73</v>
      </c>
    </row>
    <row r="308" spans="1:20" x14ac:dyDescent="0.25">
      <c r="A308">
        <v>22201112</v>
      </c>
      <c r="B308" t="s">
        <v>4</v>
      </c>
      <c r="C308" t="s">
        <v>9</v>
      </c>
      <c r="D308">
        <v>12</v>
      </c>
      <c r="E308">
        <v>19</v>
      </c>
      <c r="F308">
        <v>7</v>
      </c>
      <c r="G308">
        <v>1</v>
      </c>
      <c r="H308" s="1">
        <v>4.7916666666666663E-3</v>
      </c>
      <c r="I308">
        <v>2022</v>
      </c>
      <c r="J308" t="s">
        <v>59</v>
      </c>
      <c r="K308" s="2" t="str">
        <f>HYPERLINK("https://www.nba.com/stats/events?CFID=&amp;CFPARAMS=&amp;GameEventID=56&amp;GameID=0022201112&amp;Season=2022-23&amp;flag=1&amp;title=I.%20Zubac%206'%20floating%20Jump%20Shot%20(6%20PTS)%20(K.%20Leonard%203%20AST)", "I. Zubac 6' floating Jump Shot (6 PTS) (K. Leonard 3 AST)")</f>
        <v>I. Zubac 6' floating Jump Shot (6 PTS) (K. Leonard 3 AST)</v>
      </c>
      <c r="L308" s="2" t="str">
        <f>HYPERLINK("https://www.nba.com/game/...-vs-...-0022201112/play-by-play?watchFullGame=true", "LAC vs NOP - Q1 06:54.00")</f>
        <v>LAC vs NOP - Q1 06:54.00</v>
      </c>
      <c r="M308">
        <v>6.54</v>
      </c>
      <c r="N308">
        <v>12.53</v>
      </c>
      <c r="O308">
        <v>49.26</v>
      </c>
      <c r="P308">
        <v>4</v>
      </c>
      <c r="Q308">
        <v>65</v>
      </c>
      <c r="R308">
        <v>12</v>
      </c>
      <c r="S308">
        <v>49</v>
      </c>
      <c r="T308" t="s">
        <v>73</v>
      </c>
    </row>
    <row r="309" spans="1:20" x14ac:dyDescent="0.25">
      <c r="A309">
        <v>22300568</v>
      </c>
      <c r="B309" t="s">
        <v>4</v>
      </c>
      <c r="C309" t="s">
        <v>9</v>
      </c>
      <c r="D309">
        <v>93</v>
      </c>
      <c r="E309">
        <v>85</v>
      </c>
      <c r="F309">
        <v>8</v>
      </c>
      <c r="G309">
        <v>3</v>
      </c>
      <c r="H309" s="1">
        <v>1.1342592592592593E-3</v>
      </c>
      <c r="I309">
        <v>2023</v>
      </c>
      <c r="J309" t="s">
        <v>59</v>
      </c>
      <c r="K309" s="2" t="str">
        <f>HYPERLINK("https://www.nba.com/stats/events?CFID=&amp;CFPARAMS=&amp;GameEventID=461&amp;GameID=0022300568&amp;Season=2023-24&amp;flag=1&amp;title=R.%20Westbrook%207'%20fadeaway%20Jump%20Shot%20(9%20PTS)%20(K.%20Leonard%206%20AST)", "R. Westbrook 7' fadeaway Jump Shot (9 PTS) (K. Leonard 6 AST)")</f>
        <v>R. Westbrook 7' fadeaway Jump Shot (9 PTS) (K. Leonard 6 AST)</v>
      </c>
      <c r="L309" s="2" t="str">
        <f>HYPERLINK("https://www.nba.com/game/...-vs-...-0022300568/play-by-play?watchFullGame=true", "LAC vs OKC - Q3 01:38.00")</f>
        <v>LAC vs OKC - Q3 01:38.00</v>
      </c>
      <c r="M309">
        <v>7.16</v>
      </c>
      <c r="N309">
        <v>12.53</v>
      </c>
      <c r="O309">
        <v>55.88</v>
      </c>
      <c r="P309">
        <v>-29</v>
      </c>
      <c r="Q309">
        <v>65</v>
      </c>
      <c r="R309">
        <v>12</v>
      </c>
      <c r="S309">
        <v>55</v>
      </c>
      <c r="T309" t="s">
        <v>73</v>
      </c>
    </row>
    <row r="310" spans="1:20" x14ac:dyDescent="0.25">
      <c r="A310">
        <v>22000202</v>
      </c>
      <c r="B310" t="s">
        <v>10</v>
      </c>
      <c r="C310" t="s">
        <v>9</v>
      </c>
      <c r="D310">
        <v>94</v>
      </c>
      <c r="E310">
        <v>72</v>
      </c>
      <c r="F310">
        <v>22</v>
      </c>
      <c r="G310">
        <v>3</v>
      </c>
      <c r="H310" s="1">
        <v>1.1574074074074073E-3</v>
      </c>
      <c r="I310">
        <v>2020</v>
      </c>
      <c r="J310" t="s">
        <v>59</v>
      </c>
      <c r="K310" s="2" t="str">
        <f>HYPERLINK("https://www.nba.com/stats/events?CFID=&amp;CFPARAMS=&amp;GameEventID=423&amp;GameID=0022000202&amp;Season=2020-21&amp;flag=1&amp;title=P.%20Patterson%203PT%20%20(6%20PTS)%20(K.%20Leonard%205%20AST)", "P. Patterson 3PT  (6 PTS) (K. Leonard 5 AST)")</f>
        <v>P. Patterson 3PT  (6 PTS) (K. Leonard 5 AST)</v>
      </c>
      <c r="L310" s="2" t="str">
        <f>HYPERLINK("https://www.nba.com/game/...-vs-...-0022000202/play-by-play?watchFullGame=true", "LAC vs IND - Q3 01:40.00")</f>
        <v>LAC vs IND - Q3 01:40.00</v>
      </c>
      <c r="M310">
        <v>23.94</v>
      </c>
      <c r="N310">
        <v>12.17</v>
      </c>
      <c r="O310">
        <v>3.75</v>
      </c>
      <c r="P310">
        <v>231</v>
      </c>
      <c r="Q310">
        <v>62</v>
      </c>
      <c r="R310">
        <v>12</v>
      </c>
      <c r="S310">
        <v>3</v>
      </c>
      <c r="T310" t="s">
        <v>73</v>
      </c>
    </row>
    <row r="311" spans="1:20" x14ac:dyDescent="0.25">
      <c r="A311">
        <v>22000701</v>
      </c>
      <c r="B311" t="s">
        <v>10</v>
      </c>
      <c r="C311" t="s">
        <v>9</v>
      </c>
      <c r="D311">
        <v>23</v>
      </c>
      <c r="E311">
        <v>25</v>
      </c>
      <c r="F311">
        <v>2</v>
      </c>
      <c r="G311">
        <v>1</v>
      </c>
      <c r="H311" s="1">
        <v>1.4004629629629629E-3</v>
      </c>
      <c r="I311">
        <v>2020</v>
      </c>
      <c r="J311" t="s">
        <v>59</v>
      </c>
      <c r="K311" s="2" t="str">
        <f>HYPERLINK("https://www.nba.com/stats/events?CFID=&amp;CFPARAMS=&amp;GameEventID=118&amp;GameID=0022000701&amp;Season=2020-21&amp;flag=1&amp;title=M.%20Morris%20Sr.%203PT%20%20(8%20PTS)%20(K.%20Leonard%202%20AST)", "M. Morris Sr. 3PT  (8 PTS) (K. Leonard 2 AST)")</f>
        <v>M. Morris Sr. 3PT  (8 PTS) (K. Leonard 2 AST)</v>
      </c>
      <c r="L311" s="2" t="str">
        <f>HYPERLINK("https://www.nba.com/game/...-vs-...-0022000701/play-by-play?watchFullGame=true", "LAC vs PHI - Q1 02:01.00")</f>
        <v>LAC vs PHI - Q1 02:01.00</v>
      </c>
      <c r="M311">
        <v>23.98</v>
      </c>
      <c r="N311">
        <v>12.53</v>
      </c>
      <c r="O311">
        <v>3.85</v>
      </c>
      <c r="P311">
        <v>231</v>
      </c>
      <c r="Q311">
        <v>65</v>
      </c>
      <c r="R311">
        <v>12</v>
      </c>
      <c r="S311">
        <v>3</v>
      </c>
      <c r="T311" t="s">
        <v>73</v>
      </c>
    </row>
    <row r="312" spans="1:20" x14ac:dyDescent="0.25">
      <c r="A312">
        <v>41900156</v>
      </c>
      <c r="B312" t="s">
        <v>4</v>
      </c>
      <c r="C312" t="s">
        <v>61</v>
      </c>
      <c r="D312">
        <v>2</v>
      </c>
      <c r="E312">
        <v>0</v>
      </c>
      <c r="F312">
        <v>2</v>
      </c>
      <c r="G312">
        <v>1</v>
      </c>
      <c r="H312" s="1">
        <v>8.1134259259259267E-3</v>
      </c>
      <c r="I312" t="s">
        <v>68</v>
      </c>
      <c r="J312" t="s">
        <v>59</v>
      </c>
      <c r="K312" s="2" t="str">
        <f>HYPERLINK("https://www.nba.com/stats/events?CFID=&amp;CFPARAMS=&amp;GameEventID=7&amp;GameID=0041900156&amp;Season=2019-20&amp;flag=1&amp;title=P.%20George%2015'%20jumpshot%20(2%20PTS)%20(K.%20Leonard%201%20AST)", "P. George 15' jumpshot (2 PTS) (K. Leonard 1 AST)")</f>
        <v>P. George 15' jumpshot (2 PTS) (K. Leonard 1 AST)</v>
      </c>
      <c r="L312" s="2" t="str">
        <f>HYPERLINK("https://www.nba.com/game/...-vs-...-0041900156/play-by-play?watchFullGame=true", "LAC vs DAL - Q1 11:41.00")</f>
        <v>LAC vs DAL - Q1 11:41.00</v>
      </c>
      <c r="M312">
        <v>14.72</v>
      </c>
      <c r="N312">
        <v>12.3</v>
      </c>
      <c r="O312">
        <v>76.05</v>
      </c>
      <c r="P312">
        <v>-130</v>
      </c>
      <c r="Q312">
        <v>63</v>
      </c>
      <c r="R312">
        <v>12</v>
      </c>
      <c r="S312">
        <v>76</v>
      </c>
      <c r="T312" t="s">
        <v>73</v>
      </c>
    </row>
    <row r="313" spans="1:20" x14ac:dyDescent="0.25">
      <c r="A313">
        <v>22200810</v>
      </c>
      <c r="B313" t="s">
        <v>10</v>
      </c>
      <c r="C313" t="s">
        <v>9</v>
      </c>
      <c r="D313">
        <v>104</v>
      </c>
      <c r="E313">
        <v>107</v>
      </c>
      <c r="F313">
        <v>3</v>
      </c>
      <c r="G313">
        <v>4</v>
      </c>
      <c r="H313" s="1">
        <v>3.8425925925925928E-3</v>
      </c>
      <c r="I313">
        <v>2022</v>
      </c>
      <c r="J313" t="s">
        <v>59</v>
      </c>
      <c r="K313" s="2" t="str">
        <f>HYPERLINK("https://www.nba.com/stats/events?CFID=&amp;CFPARAMS=&amp;GameEventID=576&amp;GameID=0022200810&amp;Season=2022-23&amp;flag=1&amp;title=R.%20Jackson%2024'%203PT%20step%20back%20(10%20PTS)%20(K.%20Leonard%203%20AST)", "R. Jackson 24' 3PT step back (10 PTS) (K. Leonard 3 AST)")</f>
        <v>R. Jackson 24' 3PT step back (10 PTS) (K. Leonard 3 AST)</v>
      </c>
      <c r="L313" s="2" t="str">
        <f>HYPERLINK("https://www.nba.com/game/...-vs-...-0022200810/play-by-play?watchFullGame=true", "LAC vs BKN - Q4 05:32.00")</f>
        <v>LAC vs BKN - Q4 05:32.00</v>
      </c>
      <c r="M313">
        <v>24.04</v>
      </c>
      <c r="N313">
        <v>12.43</v>
      </c>
      <c r="O313">
        <v>3.68</v>
      </c>
      <c r="P313">
        <v>232</v>
      </c>
      <c r="Q313">
        <v>64</v>
      </c>
      <c r="R313">
        <v>12</v>
      </c>
      <c r="S313">
        <v>3</v>
      </c>
      <c r="T313" t="s">
        <v>73</v>
      </c>
    </row>
    <row r="314" spans="1:20" x14ac:dyDescent="0.25">
      <c r="A314">
        <v>22300505</v>
      </c>
      <c r="B314" t="s">
        <v>10</v>
      </c>
      <c r="C314" t="s">
        <v>9</v>
      </c>
      <c r="D314">
        <v>58</v>
      </c>
      <c r="E314">
        <v>55</v>
      </c>
      <c r="F314">
        <v>3</v>
      </c>
      <c r="G314">
        <v>3</v>
      </c>
      <c r="H314" s="1">
        <v>7.3958333333333333E-3</v>
      </c>
      <c r="I314">
        <v>2023</v>
      </c>
      <c r="J314" t="s">
        <v>59</v>
      </c>
      <c r="K314" s="2" t="str">
        <f>HYPERLINK("https://www.nba.com/stats/events?CFID=&amp;CFPARAMS=&amp;GameEventID=329&amp;GameID=0022300505&amp;Season=2023-24&amp;flag=1&amp;title=T.%20Mann%2024'%203PT%20%20(6%20PTS)%20(K.%20Leonard%201%20AST)", "T. Mann 24' 3PT  (6 PTS) (K. Leonard 1 AST)")</f>
        <v>T. Mann 24' 3PT  (6 PTS) (K. Leonard 1 AST)</v>
      </c>
      <c r="L314" s="2" t="str">
        <f>HYPERLINK("https://www.nba.com/game/...-vs-...-0022300505/play-by-play?watchFullGame=true", "LAC vs LAL - Q3 10:39.00")</f>
        <v>LAC vs LAL - Q3 10:39.00</v>
      </c>
      <c r="M314">
        <v>24.78</v>
      </c>
      <c r="N314">
        <v>13.85</v>
      </c>
      <c r="O314">
        <v>2.94</v>
      </c>
      <c r="P314">
        <v>235</v>
      </c>
      <c r="Q314">
        <v>78</v>
      </c>
      <c r="R314">
        <v>13</v>
      </c>
      <c r="S314">
        <v>2</v>
      </c>
      <c r="T314" t="s">
        <v>73</v>
      </c>
    </row>
    <row r="315" spans="1:20" x14ac:dyDescent="0.25">
      <c r="A315">
        <v>21900292</v>
      </c>
      <c r="B315" t="s">
        <v>4</v>
      </c>
      <c r="C315" t="s">
        <v>61</v>
      </c>
      <c r="D315">
        <v>125</v>
      </c>
      <c r="E315">
        <v>100</v>
      </c>
      <c r="F315">
        <v>25</v>
      </c>
      <c r="G315">
        <v>4</v>
      </c>
      <c r="H315" s="1">
        <v>6.6666666666666671E-3</v>
      </c>
      <c r="I315">
        <v>2019</v>
      </c>
      <c r="J315" t="s">
        <v>59</v>
      </c>
      <c r="K315" s="2" t="str">
        <f>HYPERLINK("https://www.nba.com/stats/events?CFID=&amp;CFPARAMS=&amp;GameEventID=610&amp;GameID=0021900292&amp;Season=2019-20&amp;flag=1&amp;title=L.%20Williams%209'%20jumpshot%20(20%20PTS)%20(K.%20Leonard%203%20AST)", "L. Williams 9' jumpshot (20 PTS) (K. Leonard 3 AST)")</f>
        <v>L. Williams 9' jumpshot (20 PTS) (K. Leonard 3 AST)</v>
      </c>
      <c r="L315" s="2" t="str">
        <f>HYPERLINK("https://www.nba.com/game/...-vs-...-0021900292/play-by-play?watchFullGame=true", "LAC vs WAS - Q4 09:36.00")</f>
        <v>LAC vs WAS - Q4 09:36.00</v>
      </c>
      <c r="M315">
        <v>9.01</v>
      </c>
      <c r="N315">
        <v>13.72</v>
      </c>
      <c r="O315">
        <v>57.53</v>
      </c>
      <c r="P315">
        <v>-38</v>
      </c>
      <c r="Q315">
        <v>76</v>
      </c>
      <c r="R315">
        <v>13</v>
      </c>
      <c r="S315">
        <v>57</v>
      </c>
      <c r="T315" t="s">
        <v>73</v>
      </c>
    </row>
    <row r="316" spans="1:20" x14ac:dyDescent="0.25">
      <c r="A316">
        <v>22000077</v>
      </c>
      <c r="B316" t="s">
        <v>10</v>
      </c>
      <c r="C316" t="s">
        <v>9</v>
      </c>
      <c r="D316">
        <v>33</v>
      </c>
      <c r="E316">
        <v>43</v>
      </c>
      <c r="F316">
        <v>10</v>
      </c>
      <c r="G316">
        <v>2</v>
      </c>
      <c r="H316" s="1">
        <v>3.2986111111111111E-3</v>
      </c>
      <c r="I316">
        <v>2020</v>
      </c>
      <c r="J316" t="s">
        <v>59</v>
      </c>
      <c r="K316" s="2" t="str">
        <f>HYPERLINK("https://www.nba.com/stats/events?CFID=&amp;CFPARAMS=&amp;GameEventID=289&amp;GameID=0022000077&amp;Season=2020-21&amp;flag=1&amp;title=P.%20Beverley%2024'%203PT%20%20(3%20PTS)%20(K.%20Leonard%204%20AST)", "P. Beverley 24' 3PT  (3 PTS) (K. Leonard 4 AST)")</f>
        <v>P. Beverley 24' 3PT  (3 PTS) (K. Leonard 4 AST)</v>
      </c>
      <c r="L316" s="2" t="str">
        <f>HYPERLINK("https://www.nba.com/game/...-vs-...-0022000077/play-by-play?watchFullGame=true", "LAC vs UTA - Q2 04:45.00")</f>
        <v>LAC vs UTA - Q2 04:45.00</v>
      </c>
      <c r="M316">
        <v>24.45</v>
      </c>
      <c r="N316">
        <v>13.62</v>
      </c>
      <c r="O316">
        <v>3.5</v>
      </c>
      <c r="P316">
        <v>232</v>
      </c>
      <c r="Q316">
        <v>75</v>
      </c>
      <c r="R316">
        <v>13</v>
      </c>
      <c r="S316">
        <v>3</v>
      </c>
      <c r="T316" t="s">
        <v>73</v>
      </c>
    </row>
    <row r="317" spans="1:20" x14ac:dyDescent="0.25">
      <c r="A317">
        <v>22200829</v>
      </c>
      <c r="B317" t="s">
        <v>4</v>
      </c>
      <c r="C317" t="s">
        <v>9</v>
      </c>
      <c r="D317">
        <v>93</v>
      </c>
      <c r="E317">
        <v>98</v>
      </c>
      <c r="F317">
        <v>5</v>
      </c>
      <c r="G317">
        <v>4</v>
      </c>
      <c r="H317" s="1">
        <v>2.8472222222222223E-3</v>
      </c>
      <c r="I317">
        <v>2022</v>
      </c>
      <c r="J317" t="s">
        <v>59</v>
      </c>
      <c r="K317" s="2" t="str">
        <f>HYPERLINK("https://www.nba.com/stats/events?CFID=&amp;CFPARAMS=&amp;GameEventID=560&amp;GameID=0022200829&amp;Season=2022-23&amp;flag=1&amp;title=N.%20Powell%208'%20driving%20floating%20Jump%20Shot%20(20%20PTS)%20(K.%20Leonard%204%20AST)", "N. Powell 8' driving floating Jump Shot (20 PTS) (K. Leonard 4 AST)")</f>
        <v>N. Powell 8' driving floating Jump Shot (20 PTS) (K. Leonard 4 AST)</v>
      </c>
      <c r="L317" s="2" t="str">
        <f>HYPERLINK("https://www.nba.com/game/...-vs-...-0022200829/play-by-play?watchFullGame=true", "LAC vs DAL - Q4 04:06.00")</f>
        <v>LAC vs DAL - Q4 04:06.00</v>
      </c>
      <c r="M317">
        <v>8.01</v>
      </c>
      <c r="N317">
        <v>13.8</v>
      </c>
      <c r="O317">
        <v>45.75</v>
      </c>
      <c r="P317">
        <v>21</v>
      </c>
      <c r="Q317">
        <v>77</v>
      </c>
      <c r="R317">
        <v>13</v>
      </c>
      <c r="S317">
        <v>45</v>
      </c>
      <c r="T317" t="s">
        <v>73</v>
      </c>
    </row>
    <row r="318" spans="1:20" x14ac:dyDescent="0.25">
      <c r="A318">
        <v>22400671</v>
      </c>
      <c r="B318" t="s">
        <v>4</v>
      </c>
      <c r="C318" t="s">
        <v>9</v>
      </c>
      <c r="D318">
        <v>83</v>
      </c>
      <c r="E318">
        <v>67</v>
      </c>
      <c r="F318">
        <v>16</v>
      </c>
      <c r="G318">
        <v>3</v>
      </c>
      <c r="H318" s="1">
        <v>4.9884259259259257E-3</v>
      </c>
      <c r="I318">
        <v>2024</v>
      </c>
      <c r="J318" t="s">
        <v>59</v>
      </c>
      <c r="K318" s="2" t="str">
        <f>HYPERLINK("https://www.nba.com/stats/events?CFID=&amp;CFPARAMS=&amp;GameEventID=397&amp;GameID=0022400671&amp;Season=2024-25&amp;flag=1&amp;title=I.%20Zubac%209'%20floating%20Jump%20Shot%20(14%20PTS)%20(K.%20Leonard%205%20AST)", "I. Zubac 9' floating Jump Shot (14 PTS) (K. Leonard 5 AST)")</f>
        <v>I. Zubac 9' floating Jump Shot (14 PTS) (K. Leonard 5 AST)</v>
      </c>
      <c r="L318" s="2" t="str">
        <f>HYPERLINK("https://www.nba.com/game/...-vs-...-0022400671/play-by-play?watchFullGame=true", "LAC vs SAS - Q3 07:11.00")</f>
        <v>LAC vs SAS - Q3 07:11.00</v>
      </c>
      <c r="M318">
        <v>9.2200000000000006</v>
      </c>
      <c r="N318">
        <v>13.35</v>
      </c>
      <c r="O318">
        <v>38.729999999999997</v>
      </c>
      <c r="P318">
        <v>56</v>
      </c>
      <c r="Q318">
        <v>73</v>
      </c>
      <c r="R318">
        <v>13</v>
      </c>
      <c r="S318">
        <v>38</v>
      </c>
      <c r="T318" t="s">
        <v>73</v>
      </c>
    </row>
    <row r="319" spans="1:20" x14ac:dyDescent="0.25">
      <c r="A319">
        <v>41900237</v>
      </c>
      <c r="B319" t="s">
        <v>4</v>
      </c>
      <c r="C319" t="s">
        <v>61</v>
      </c>
      <c r="D319">
        <v>65</v>
      </c>
      <c r="E319">
        <v>70</v>
      </c>
      <c r="F319">
        <v>5</v>
      </c>
      <c r="G319">
        <v>3</v>
      </c>
      <c r="H319" s="1">
        <v>3.8773148148148148E-3</v>
      </c>
      <c r="I319" t="s">
        <v>62</v>
      </c>
      <c r="J319" t="s">
        <v>59</v>
      </c>
      <c r="K319" s="2" t="str">
        <f>HYPERLINK("https://www.nba.com/stats/events?CFID=&amp;CFPARAMS=&amp;GameEventID=382&amp;GameID=0041900237&amp;Season=2019-20&amp;flag=1&amp;title=J.%20Green%2017'%20jumpshot%20(5%20PTS)%20(K.%20Leonard%205%20AST)", "J. Green 17' jumpshot (5 PTS) (K. Leonard 5 AST)")</f>
        <v>J. Green 17' jumpshot (5 PTS) (K. Leonard 5 AST)</v>
      </c>
      <c r="L319" s="2" t="str">
        <f>HYPERLINK("https://www.nba.com/game/...-vs-...-0041900237/play-by-play?watchFullGame=true", "LAC vs DEN - Q3 05:35.00")</f>
        <v>LAC vs DEN - Q3 05:35.00</v>
      </c>
      <c r="M319">
        <v>16.809999999999999</v>
      </c>
      <c r="N319">
        <v>13.49</v>
      </c>
      <c r="O319">
        <v>20.41</v>
      </c>
      <c r="P319">
        <v>148</v>
      </c>
      <c r="Q319">
        <v>74</v>
      </c>
      <c r="R319">
        <v>13</v>
      </c>
      <c r="S319">
        <v>20</v>
      </c>
      <c r="T319" t="s">
        <v>73</v>
      </c>
    </row>
    <row r="320" spans="1:20" x14ac:dyDescent="0.25">
      <c r="A320">
        <v>22000717</v>
      </c>
      <c r="B320" t="s">
        <v>4</v>
      </c>
      <c r="C320" t="s">
        <v>9</v>
      </c>
      <c r="D320">
        <v>17</v>
      </c>
      <c r="E320">
        <v>12</v>
      </c>
      <c r="F320">
        <v>5</v>
      </c>
      <c r="G320">
        <v>1</v>
      </c>
      <c r="H320" s="1">
        <v>5.0347222222222225E-3</v>
      </c>
      <c r="I320">
        <v>2020</v>
      </c>
      <c r="J320" t="s">
        <v>59</v>
      </c>
      <c r="K320" s="2" t="str">
        <f>HYPERLINK("https://www.nba.com/stats/events?CFID=&amp;CFPARAMS=&amp;GameEventID=53&amp;GameID=0022000717&amp;Season=2020-21&amp;flag=1&amp;title=M.%20Morris%20Sr.%2010'%20pullup%20Jump%20Shot%20(4%20PTS)%20(K.%20Leonard%203%20AST)", "M. Morris Sr. 10' pullup Jump Shot (4 PTS) (K. Leonard 3 AST)")</f>
        <v>M. Morris Sr. 10' pullup Jump Shot (4 PTS) (K. Leonard 3 AST)</v>
      </c>
      <c r="L320" s="2" t="str">
        <f>HYPERLINK("https://www.nba.com/game/...-vs-...-0022000717/play-by-play?watchFullGame=true", "LAC vs MIL - Q1 07:15.00")</f>
        <v>LAC vs MIL - Q1 07:15.00</v>
      </c>
      <c r="M320">
        <v>10.4</v>
      </c>
      <c r="N320">
        <v>14.93</v>
      </c>
      <c r="O320">
        <v>61.1</v>
      </c>
      <c r="P320">
        <v>-55</v>
      </c>
      <c r="Q320">
        <v>88</v>
      </c>
      <c r="R320">
        <v>14</v>
      </c>
      <c r="S320">
        <v>61</v>
      </c>
      <c r="T320" t="s">
        <v>73</v>
      </c>
    </row>
    <row r="321" spans="1:20" x14ac:dyDescent="0.25">
      <c r="A321">
        <v>22200701</v>
      </c>
      <c r="B321" t="s">
        <v>4</v>
      </c>
      <c r="C321" t="s">
        <v>9</v>
      </c>
      <c r="D321">
        <v>51</v>
      </c>
      <c r="E321">
        <v>56</v>
      </c>
      <c r="F321">
        <v>5</v>
      </c>
      <c r="G321">
        <v>3</v>
      </c>
      <c r="H321" s="1">
        <v>7.8703703703703696E-3</v>
      </c>
      <c r="I321">
        <v>2022</v>
      </c>
      <c r="J321" t="s">
        <v>59</v>
      </c>
      <c r="K321" s="2" t="str">
        <f>HYPERLINK("https://www.nba.com/stats/events?CFID=&amp;CFPARAMS=&amp;GameEventID=327&amp;GameID=0022200701&amp;Season=2022-23&amp;flag=1&amp;title=P.%20George%2010'%20driving%20floating%20Jump%20Shot%20(9%20PTS)%20(K.%20Leonard%203%20AST)", "P. George 10' driving floating Jump Shot (9 PTS) (K. Leonard 3 AST)")</f>
        <v>P. George 10' driving floating Jump Shot (9 PTS) (K. Leonard 3 AST)</v>
      </c>
      <c r="L321" s="2" t="str">
        <f>HYPERLINK("https://www.nba.com/game/...-vs-...-0022200701/play-by-play?watchFullGame=true", "LAC vs DAL - Q3 11:20.00")</f>
        <v>LAC vs DAL - Q3 11:20.00</v>
      </c>
      <c r="M321">
        <v>10.76</v>
      </c>
      <c r="N321">
        <v>14.41</v>
      </c>
      <c r="O321">
        <v>63.73</v>
      </c>
      <c r="P321">
        <v>-69</v>
      </c>
      <c r="Q321">
        <v>83</v>
      </c>
      <c r="R321">
        <v>14</v>
      </c>
      <c r="S321">
        <v>63</v>
      </c>
      <c r="T321" t="s">
        <v>73</v>
      </c>
    </row>
    <row r="322" spans="1:20" x14ac:dyDescent="0.25">
      <c r="A322">
        <v>22300537</v>
      </c>
      <c r="B322" t="s">
        <v>10</v>
      </c>
      <c r="C322" t="s">
        <v>9</v>
      </c>
      <c r="D322">
        <v>57</v>
      </c>
      <c r="E322">
        <v>49</v>
      </c>
      <c r="F322">
        <v>8</v>
      </c>
      <c r="G322">
        <v>2</v>
      </c>
      <c r="H322" s="1">
        <v>2.2916666666666667E-3</v>
      </c>
      <c r="I322">
        <v>2023</v>
      </c>
      <c r="J322" t="s">
        <v>59</v>
      </c>
      <c r="K322" s="2" t="str">
        <f>HYPERLINK("https://www.nba.com/stats/events?CFID=&amp;CFPARAMS=&amp;GameEventID=279&amp;GameID=0022300537&amp;Season=2023-24&amp;flag=1&amp;title=P.%20George%2024'%203PT%20step%20back%20(14%20PTS)%20(K.%20Leonard%202%20AST)", "P. George 24' 3PT step back (14 PTS) (K. Leonard 2 AST)")</f>
        <v>P. George 24' 3PT step back (14 PTS) (K. Leonard 2 AST)</v>
      </c>
      <c r="L322" s="2" t="str">
        <f>HYPERLINK("https://www.nba.com/game/...-vs-...-0022300537/play-by-play?watchFullGame=true", "LAC vs MEM - Q2 03:18.00")</f>
        <v>LAC vs MEM - Q2 03:18.00</v>
      </c>
      <c r="M322">
        <v>24.5</v>
      </c>
      <c r="N322">
        <v>14.8</v>
      </c>
      <c r="O322">
        <v>4.17</v>
      </c>
      <c r="P322">
        <v>229</v>
      </c>
      <c r="Q322">
        <v>87</v>
      </c>
      <c r="R322">
        <v>14</v>
      </c>
      <c r="S322">
        <v>4</v>
      </c>
      <c r="T322" t="s">
        <v>73</v>
      </c>
    </row>
    <row r="323" spans="1:20" x14ac:dyDescent="0.25">
      <c r="A323">
        <v>22300473</v>
      </c>
      <c r="B323" t="s">
        <v>4</v>
      </c>
      <c r="C323" t="s">
        <v>9</v>
      </c>
      <c r="D323">
        <v>78</v>
      </c>
      <c r="E323">
        <v>59</v>
      </c>
      <c r="F323">
        <v>19</v>
      </c>
      <c r="G323">
        <v>3</v>
      </c>
      <c r="H323" s="1">
        <v>6.7824074074074071E-3</v>
      </c>
      <c r="I323">
        <v>2023</v>
      </c>
      <c r="J323" t="s">
        <v>59</v>
      </c>
      <c r="K323" s="2" t="str">
        <f>HYPERLINK("https://www.nba.com/stats/events?CFID=&amp;CFPARAMS=&amp;GameEventID=347&amp;GameID=0022300473&amp;Season=2023-24&amp;flag=1&amp;title=J.%20Harden%2020'%20pullup%20Jump%20Shot%20(14%20PTS)%20(K.%20Leonard%203%20AST)", "J. Harden 20' pullup Jump Shot (14 PTS) (K. Leonard 3 AST)")</f>
        <v>J. Harden 20' pullup Jump Shot (14 PTS) (K. Leonard 3 AST)</v>
      </c>
      <c r="L323" s="2" t="str">
        <f>HYPERLINK("https://www.nba.com/game/...-vs-...-0022300473/play-by-play?watchFullGame=true", "LAC vs PHX - Q3 09:46.00")</f>
        <v>LAC vs PHX - Q3 09:46.00</v>
      </c>
      <c r="M323">
        <v>20.16</v>
      </c>
      <c r="N323">
        <v>14.93</v>
      </c>
      <c r="O323">
        <v>13.73</v>
      </c>
      <c r="P323">
        <v>181</v>
      </c>
      <c r="Q323">
        <v>88</v>
      </c>
      <c r="R323">
        <v>14</v>
      </c>
      <c r="S323">
        <v>13</v>
      </c>
      <c r="T323" t="s">
        <v>73</v>
      </c>
    </row>
    <row r="324" spans="1:20" x14ac:dyDescent="0.25">
      <c r="A324">
        <v>22000091</v>
      </c>
      <c r="B324" t="s">
        <v>4</v>
      </c>
      <c r="C324" t="s">
        <v>9</v>
      </c>
      <c r="D324">
        <v>5</v>
      </c>
      <c r="E324">
        <v>5</v>
      </c>
      <c r="F324">
        <v>0</v>
      </c>
      <c r="G324">
        <v>1</v>
      </c>
      <c r="H324" s="1">
        <v>7.037037037037037E-3</v>
      </c>
      <c r="I324">
        <v>2020</v>
      </c>
      <c r="J324" t="s">
        <v>59</v>
      </c>
      <c r="K324" s="2" t="str">
        <f>HYPERLINK("https://www.nba.com/stats/events?CFID=&amp;CFPARAMS=&amp;GameEventID=16&amp;GameID=0022000091&amp;Season=2020-21&amp;flag=1&amp;title=P.%20George%2017'%20pullup%20Jump%20Shot%20(2%20PTS)%20(K.%20Leonard%201%20AST)", "P. George 17' pullup Jump Shot (2 PTS) (K. Leonard 1 AST)")</f>
        <v>P. George 17' pullup Jump Shot (2 PTS) (K. Leonard 1 AST)</v>
      </c>
      <c r="L324" s="2" t="str">
        <f>HYPERLINK("https://www.nba.com/game/...-vs-...-0022000091/play-by-play?watchFullGame=true", "LAC vs PHX - Q1 10:08.00")</f>
        <v>LAC vs PHX - Q1 10:08.00</v>
      </c>
      <c r="M324">
        <v>17.97</v>
      </c>
      <c r="N324">
        <v>15.85</v>
      </c>
      <c r="O324">
        <v>19.68</v>
      </c>
      <c r="P324">
        <v>152</v>
      </c>
      <c r="Q324">
        <v>96</v>
      </c>
      <c r="R324">
        <v>15</v>
      </c>
      <c r="S324">
        <v>19</v>
      </c>
      <c r="T324" t="s">
        <v>73</v>
      </c>
    </row>
    <row r="325" spans="1:20" x14ac:dyDescent="0.25">
      <c r="A325">
        <v>21900115</v>
      </c>
      <c r="B325" t="s">
        <v>10</v>
      </c>
      <c r="C325" t="s">
        <v>61</v>
      </c>
      <c r="D325">
        <v>13</v>
      </c>
      <c r="E325">
        <v>9</v>
      </c>
      <c r="F325">
        <v>4</v>
      </c>
      <c r="G325">
        <v>1</v>
      </c>
      <c r="H325" s="1">
        <v>4.4444444444444444E-3</v>
      </c>
      <c r="I325">
        <v>2019</v>
      </c>
      <c r="J325" t="s">
        <v>59</v>
      </c>
      <c r="K325" s="2" t="str">
        <f>HYPERLINK("https://www.nba.com/stats/events?CFID=&amp;CFPARAMS=&amp;GameEventID=66&amp;GameID=0021900115&amp;Season=2019-20&amp;flag=1&amp;title=[LAC]%20Patterson%203pt%20shot:%20Made%20(5%20PTS)%20assist:%20Leonard%20(1%20AST)", "[LAC] Patterson 3pt shot: Made (5 PTS) assist: Leonard (1 AST)")</f>
        <v>[LAC] Patterson 3pt shot: Made (5 PTS) assist: Leonard (1 AST)</v>
      </c>
      <c r="L325" s="2" t="str">
        <f>HYPERLINK("https://www.nba.com/game/...-vs-...-0021900115/play-by-play?watchFullGame=true", "LAC vs POR - Q1 06:24.00")</f>
        <v>LAC vs POR - Q1 06:24.00</v>
      </c>
      <c r="M325">
        <v>24.83</v>
      </c>
      <c r="N325">
        <v>15.69</v>
      </c>
      <c r="O325">
        <v>4.59</v>
      </c>
      <c r="P325">
        <v>227</v>
      </c>
      <c r="Q325">
        <v>95</v>
      </c>
      <c r="R325">
        <v>15</v>
      </c>
      <c r="S325">
        <v>4</v>
      </c>
      <c r="T325" t="s">
        <v>73</v>
      </c>
    </row>
    <row r="326" spans="1:20" x14ac:dyDescent="0.25">
      <c r="A326">
        <v>22201229</v>
      </c>
      <c r="B326" t="s">
        <v>4</v>
      </c>
      <c r="C326" t="s">
        <v>9</v>
      </c>
      <c r="D326">
        <v>65</v>
      </c>
      <c r="E326">
        <v>64</v>
      </c>
      <c r="F326">
        <v>1</v>
      </c>
      <c r="G326">
        <v>3</v>
      </c>
      <c r="H326" s="1">
        <v>4.0277777777777777E-3</v>
      </c>
      <c r="I326">
        <v>2022</v>
      </c>
      <c r="J326" t="s">
        <v>59</v>
      </c>
      <c r="K326" s="2" t="str">
        <f>HYPERLINK("https://www.nba.com/stats/events?CFID=&amp;CFPARAMS=&amp;GameEventID=416&amp;GameID=0022201229&amp;Season=2022-23&amp;flag=1&amp;title=I.%20Zubac%209'%20floating%20Jump%20Shot%20(8%20PTS)%20(K.%20Leonard%205%20AST)", "I. Zubac 9' floating Jump Shot (8 PTS) (K. Leonard 5 AST)")</f>
        <v>I. Zubac 9' floating Jump Shot (8 PTS) (K. Leonard 5 AST)</v>
      </c>
      <c r="L326" s="2" t="str">
        <f>HYPERLINK("https://www.nba.com/game/...-vs-...-0022201229/play-by-play?watchFullGame=true", "LAC vs PHX - Q3 05:48.00")</f>
        <v>LAC vs PHX - Q3 05:48.00</v>
      </c>
      <c r="M326">
        <v>9.34</v>
      </c>
      <c r="N326">
        <v>15.46</v>
      </c>
      <c r="O326">
        <v>47.79</v>
      </c>
      <c r="P326">
        <v>11</v>
      </c>
      <c r="Q326">
        <v>93</v>
      </c>
      <c r="R326">
        <v>15</v>
      </c>
      <c r="S326">
        <v>47</v>
      </c>
      <c r="T326" t="s">
        <v>73</v>
      </c>
    </row>
    <row r="327" spans="1:20" x14ac:dyDescent="0.25">
      <c r="A327">
        <v>22300280</v>
      </c>
      <c r="B327" t="s">
        <v>4</v>
      </c>
      <c r="C327" t="s">
        <v>9</v>
      </c>
      <c r="D327">
        <v>10</v>
      </c>
      <c r="E327">
        <v>18</v>
      </c>
      <c r="F327">
        <v>8</v>
      </c>
      <c r="G327">
        <v>1</v>
      </c>
      <c r="H327" s="1">
        <v>3.9930555555555552E-3</v>
      </c>
      <c r="I327">
        <v>2023</v>
      </c>
      <c r="J327" t="s">
        <v>59</v>
      </c>
      <c r="K327" s="2" t="str">
        <f>HYPERLINK("https://www.nba.com/stats/events?CFID=&amp;CFPARAMS=&amp;GameEventID=73&amp;GameID=0022300280&amp;Season=2023-24&amp;flag=1&amp;title=P.%20George%2010'%20running%20pullup%20Jump%20Shot%20(2%20PTS)%20(K.%20Leonard%201%20AST)", "P. George 10' running pullup Jump Shot (2 PTS) (K. Leonard 1 AST)")</f>
        <v>P. George 10' running pullup Jump Shot (2 PTS) (K. Leonard 1 AST)</v>
      </c>
      <c r="L327" s="2" t="str">
        <f>HYPERLINK("https://www.nba.com/game/...-vs-...-0022300280/play-by-play?watchFullGame=true", "LAC vs GSW - Q1 05:45.00")</f>
        <v>LAC vs GSW - Q1 05:45.00</v>
      </c>
      <c r="M327">
        <v>10.47</v>
      </c>
      <c r="N327">
        <v>15.69</v>
      </c>
      <c r="O327">
        <v>41.18</v>
      </c>
      <c r="P327">
        <v>44</v>
      </c>
      <c r="Q327">
        <v>95</v>
      </c>
      <c r="R327">
        <v>15</v>
      </c>
      <c r="S327">
        <v>41</v>
      </c>
      <c r="T327" t="s">
        <v>73</v>
      </c>
    </row>
    <row r="328" spans="1:20" x14ac:dyDescent="0.25">
      <c r="A328">
        <v>22000756</v>
      </c>
      <c r="B328" t="s">
        <v>4</v>
      </c>
      <c r="C328" t="s">
        <v>9</v>
      </c>
      <c r="D328">
        <v>89</v>
      </c>
      <c r="E328">
        <v>68</v>
      </c>
      <c r="F328">
        <v>21</v>
      </c>
      <c r="G328">
        <v>4</v>
      </c>
      <c r="H328" s="1">
        <v>4.4791666666666669E-3</v>
      </c>
      <c r="I328">
        <v>2020</v>
      </c>
      <c r="J328" t="s">
        <v>59</v>
      </c>
      <c r="K328" s="2" t="str">
        <f>HYPERLINK("https://www.nba.com/stats/events?CFID=&amp;CFPARAMS=&amp;GameEventID=555&amp;GameID=0022000756&amp;Season=2020-21&amp;flag=1&amp;title=L.%20Kennard%2013'%20Jump%20Shot%20(9%20PTS)%20(K.%20Leonard%208%20AST)", "L. Kennard 13' Jump Shot (9 PTS) (K. Leonard 8 AST)")</f>
        <v>L. Kennard 13' Jump Shot (9 PTS) (K. Leonard 8 AST)</v>
      </c>
      <c r="L328" s="2" t="str">
        <f>HYPERLINK("https://www.nba.com/game/...-vs-...-0022000756/play-by-play?watchFullGame=true", "LAC vs LAL - Q4 06:27.00")</f>
        <v>LAC vs LAL - Q4 06:27.00</v>
      </c>
      <c r="M328">
        <v>13.02</v>
      </c>
      <c r="N328">
        <v>16.899999999999999</v>
      </c>
      <c r="O328">
        <v>65.02</v>
      </c>
      <c r="P328">
        <v>-75</v>
      </c>
      <c r="Q328">
        <v>106</v>
      </c>
      <c r="R328">
        <v>16</v>
      </c>
      <c r="S328">
        <v>65</v>
      </c>
      <c r="T328" t="s">
        <v>73</v>
      </c>
    </row>
    <row r="329" spans="1:20" x14ac:dyDescent="0.25">
      <c r="A329">
        <v>22000251</v>
      </c>
      <c r="B329" t="s">
        <v>10</v>
      </c>
      <c r="C329" t="s">
        <v>9</v>
      </c>
      <c r="D329">
        <v>97</v>
      </c>
      <c r="E329">
        <v>83</v>
      </c>
      <c r="F329">
        <v>14</v>
      </c>
      <c r="G329">
        <v>4</v>
      </c>
      <c r="H329" s="1">
        <v>3.6921296296296298E-3</v>
      </c>
      <c r="I329">
        <v>2020</v>
      </c>
      <c r="J329" t="s">
        <v>59</v>
      </c>
      <c r="K329" s="2" t="str">
        <f>HYPERLINK("https://www.nba.com/stats/events?CFID=&amp;CFPARAMS=&amp;GameEventID=550&amp;GameID=0022000251&amp;Season=2020-21&amp;flag=1&amp;title=N.%20Batum%2024'%203PT%20%20(7%20PTS)%20(K.%20Leonard%207%20AST)", "N. Batum 24' 3PT  (7 PTS) (K. Leonard 7 AST)")</f>
        <v>N. Batum 24' 3PT  (7 PTS) (K. Leonard 7 AST)</v>
      </c>
      <c r="L329" s="2" t="str">
        <f>HYPERLINK("https://www.nba.com/game/...-vs-...-0022000251/play-by-play?watchFullGame=true", "LAC vs OKC - Q4 05:19.00")</f>
        <v>LAC vs OKC - Q4 05:19.00</v>
      </c>
      <c r="M329">
        <v>24.87</v>
      </c>
      <c r="N329">
        <v>16.25</v>
      </c>
      <c r="O329">
        <v>4.4800000000000004</v>
      </c>
      <c r="P329">
        <v>228</v>
      </c>
      <c r="Q329">
        <v>100</v>
      </c>
      <c r="R329">
        <v>16</v>
      </c>
      <c r="S329">
        <v>4</v>
      </c>
      <c r="T329" t="s">
        <v>73</v>
      </c>
    </row>
    <row r="330" spans="1:20" x14ac:dyDescent="0.25">
      <c r="A330">
        <v>22200525</v>
      </c>
      <c r="B330" t="s">
        <v>10</v>
      </c>
      <c r="C330" t="s">
        <v>9</v>
      </c>
      <c r="D330">
        <v>55</v>
      </c>
      <c r="E330">
        <v>60</v>
      </c>
      <c r="F330">
        <v>5</v>
      </c>
      <c r="G330">
        <v>3</v>
      </c>
      <c r="H330" s="1">
        <v>7.8472222222222224E-3</v>
      </c>
      <c r="I330">
        <v>2022</v>
      </c>
      <c r="J330" t="s">
        <v>59</v>
      </c>
      <c r="K330" s="2" t="str">
        <f>HYPERLINK("https://www.nba.com/stats/events?CFID=&amp;CFPARAMS=&amp;GameEventID=326&amp;GameID=0022200525&amp;Season=2022-23&amp;flag=1&amp;title=P.%20George%2024'%203PT%20%20(12%20PTS)%20(K.%20Leonard%202%20AST)", "P. George 24' 3PT  (12 PTS) (K. Leonard 2 AST)")</f>
        <v>P. George 24' 3PT  (12 PTS) (K. Leonard 2 AST)</v>
      </c>
      <c r="L330" s="2" t="str">
        <f>HYPERLINK("https://www.nba.com/game/...-vs-...-0022200525/play-by-play?watchFullGame=true", "LAC vs BOS - Q3 11:18.00")</f>
        <v>LAC vs BOS - Q3 11:18.00</v>
      </c>
      <c r="M330">
        <v>24.74</v>
      </c>
      <c r="N330">
        <v>16.11</v>
      </c>
      <c r="O330">
        <v>4.66</v>
      </c>
      <c r="P330">
        <v>227</v>
      </c>
      <c r="Q330">
        <v>99</v>
      </c>
      <c r="R330">
        <v>16</v>
      </c>
      <c r="S330">
        <v>4</v>
      </c>
      <c r="T330" t="s">
        <v>73</v>
      </c>
    </row>
    <row r="331" spans="1:20" x14ac:dyDescent="0.25">
      <c r="A331">
        <v>22400911</v>
      </c>
      <c r="B331" t="s">
        <v>4</v>
      </c>
      <c r="C331" t="s">
        <v>70</v>
      </c>
      <c r="D331">
        <v>66</v>
      </c>
      <c r="E331">
        <v>59</v>
      </c>
      <c r="F331">
        <v>7</v>
      </c>
      <c r="G331">
        <v>3</v>
      </c>
      <c r="H331" s="1">
        <v>5.9490740740740745E-3</v>
      </c>
      <c r="I331">
        <v>2024</v>
      </c>
      <c r="J331" t="s">
        <v>59</v>
      </c>
      <c r="K331" s="2" t="str">
        <f>HYPERLINK("https://www.nba.com/stats/events?CFID=&amp;CFPARAMS=&amp;GameEventID=334&amp;GameID=0022400911&amp;Season=2024-25&amp;flag=1&amp;title=I.%20Zubac%2010'%20driving%20Hook%20(14%20PTS)%20(K.%20Leonard%205%20AST)", "I. Zubac 10' driving Hook (14 PTS) (K. Leonard 5 AST)")</f>
        <v>I. Zubac 10' driving Hook (14 PTS) (K. Leonard 5 AST)</v>
      </c>
      <c r="L331" s="2" t="str">
        <f>HYPERLINK("https://www.nba.com/game/...-vs-...-0022400911/play-by-play?watchFullGame=true", "LAC vs NYK - Q3 08:34.00")</f>
        <v>LAC vs NYK - Q3 08:34.00</v>
      </c>
      <c r="M331">
        <v>10.88</v>
      </c>
      <c r="N331">
        <v>16.559999999999999</v>
      </c>
      <c r="O331">
        <v>43.03</v>
      </c>
      <c r="P331">
        <v>35</v>
      </c>
      <c r="Q331">
        <v>103</v>
      </c>
      <c r="R331">
        <v>16</v>
      </c>
      <c r="S331">
        <v>43</v>
      </c>
      <c r="T331" t="s">
        <v>73</v>
      </c>
    </row>
    <row r="332" spans="1:20" x14ac:dyDescent="0.25">
      <c r="A332">
        <v>22000472</v>
      </c>
      <c r="B332" t="s">
        <v>4</v>
      </c>
      <c r="C332" t="s">
        <v>9</v>
      </c>
      <c r="D332">
        <v>53</v>
      </c>
      <c r="E332">
        <v>58</v>
      </c>
      <c r="F332">
        <v>5</v>
      </c>
      <c r="G332">
        <v>3</v>
      </c>
      <c r="H332" s="1">
        <v>8.2060185185185187E-3</v>
      </c>
      <c r="I332">
        <v>2020</v>
      </c>
      <c r="J332" t="s">
        <v>59</v>
      </c>
      <c r="K332" s="2" t="str">
        <f>HYPERLINK("https://www.nba.com/stats/events?CFID=&amp;CFPARAMS=&amp;GameEventID=325&amp;GameID=0022000472&amp;Season=2020-21&amp;flag=1&amp;title=P.%20George%2011'%20pullup%20Jump%20Shot%20(15%20PTS)%20(K.%20Leonard%201%20AST)", "P. George 11' pullup Jump Shot (15 PTS) (K. Leonard 1 AST)")</f>
        <v>P. George 11' pullup Jump Shot (15 PTS) (K. Leonard 1 AST)</v>
      </c>
      <c r="L332" s="2" t="str">
        <f>HYPERLINK("https://www.nba.com/game/...-vs-...-0022000472/play-by-play?watchFullGame=true", "LAC vs BKN - Q3 11:49.00")</f>
        <v>LAC vs BKN - Q3 11:49.00</v>
      </c>
      <c r="M332">
        <v>11.85</v>
      </c>
      <c r="N332">
        <v>16.77</v>
      </c>
      <c r="O332">
        <v>39.04</v>
      </c>
      <c r="P332">
        <v>55</v>
      </c>
      <c r="Q332">
        <v>105</v>
      </c>
      <c r="R332">
        <v>16</v>
      </c>
      <c r="S332">
        <v>39</v>
      </c>
      <c r="T332" t="s">
        <v>73</v>
      </c>
    </row>
    <row r="333" spans="1:20" x14ac:dyDescent="0.25">
      <c r="A333">
        <v>22000701</v>
      </c>
      <c r="B333" t="s">
        <v>4</v>
      </c>
      <c r="C333" t="s">
        <v>9</v>
      </c>
      <c r="D333">
        <v>29</v>
      </c>
      <c r="E333">
        <v>30</v>
      </c>
      <c r="F333">
        <v>1</v>
      </c>
      <c r="G333">
        <v>1</v>
      </c>
      <c r="H333" s="1">
        <v>9.9537037037037031E-5</v>
      </c>
      <c r="I333">
        <v>2020</v>
      </c>
      <c r="J333" t="s">
        <v>59</v>
      </c>
      <c r="K333" s="2" t="str">
        <f>HYPERLINK("https://www.nba.com/stats/events?CFID=&amp;CFPARAMS=&amp;GameEventID=150&amp;GameID=0022000701&amp;Season=2020-21&amp;flag=1&amp;title=T.%20Mann%2010'%20fadeaway%20Jump%20Shot%20(2%20PTS)%20(K.%20Leonard%203%20AST)", "T. Mann 10' fadeaway Jump Shot (2 PTS) (K. Leonard 3 AST)")</f>
        <v>T. Mann 10' fadeaway Jump Shot (2 PTS) (K. Leonard 3 AST)</v>
      </c>
      <c r="L333" s="2" t="str">
        <f>HYPERLINK("https://www.nba.com/game/...-vs-...-0022000701/play-by-play?watchFullGame=true", "LAC vs PHI - Q1 00:08.60")</f>
        <v>LAC vs PHI - Q1 00:08.60</v>
      </c>
      <c r="M333">
        <v>10.11</v>
      </c>
      <c r="N333">
        <v>16.079999999999998</v>
      </c>
      <c r="O333">
        <v>54.34</v>
      </c>
      <c r="P333">
        <v>-22</v>
      </c>
      <c r="Q333">
        <v>99</v>
      </c>
      <c r="R333">
        <v>16</v>
      </c>
      <c r="S333">
        <v>54</v>
      </c>
      <c r="T333" t="s">
        <v>73</v>
      </c>
    </row>
    <row r="334" spans="1:20" x14ac:dyDescent="0.25">
      <c r="A334">
        <v>22300618</v>
      </c>
      <c r="B334" t="s">
        <v>10</v>
      </c>
      <c r="C334" t="s">
        <v>9</v>
      </c>
      <c r="D334">
        <v>113</v>
      </c>
      <c r="E334">
        <v>108</v>
      </c>
      <c r="F334">
        <v>5</v>
      </c>
      <c r="G334">
        <v>4</v>
      </c>
      <c r="H334" s="1">
        <v>4.8842592592592592E-3</v>
      </c>
      <c r="I334">
        <v>2023</v>
      </c>
      <c r="J334" t="s">
        <v>59</v>
      </c>
      <c r="K334" s="2" t="str">
        <f>HYPERLINK("https://www.nba.com/stats/events?CFID=&amp;CFPARAMS=&amp;GameEventID=531&amp;GameID=0022300618&amp;Season=2023-24&amp;flag=1&amp;title=N.%20Powell%2025'%203PT%20%20(13%20PTS)%20(K.%20Leonard%207%20AST)", "N. Powell 25' 3PT  (13 PTS) (K. Leonard 7 AST)")</f>
        <v>N. Powell 25' 3PT  (13 PTS) (K. Leonard 7 AST)</v>
      </c>
      <c r="L334" s="2" t="str">
        <f>HYPERLINK("https://www.nba.com/game/...-vs-...-0022300618/play-by-play?watchFullGame=true", "LAC vs LAL - Q4 07:02.00")</f>
        <v>LAC vs LAL - Q4 07:02.00</v>
      </c>
      <c r="M334">
        <v>25.5</v>
      </c>
      <c r="N334">
        <v>16.34</v>
      </c>
      <c r="O334">
        <v>3.19</v>
      </c>
      <c r="P334">
        <v>234</v>
      </c>
      <c r="Q334">
        <v>101</v>
      </c>
      <c r="R334">
        <v>16</v>
      </c>
      <c r="S334">
        <v>3</v>
      </c>
      <c r="T334" t="s">
        <v>73</v>
      </c>
    </row>
    <row r="335" spans="1:20" x14ac:dyDescent="0.25">
      <c r="A335">
        <v>22000172</v>
      </c>
      <c r="B335" t="s">
        <v>10</v>
      </c>
      <c r="C335" t="s">
        <v>9</v>
      </c>
      <c r="D335">
        <v>51</v>
      </c>
      <c r="E335">
        <v>39</v>
      </c>
      <c r="F335">
        <v>12</v>
      </c>
      <c r="G335">
        <v>2</v>
      </c>
      <c r="H335" s="1">
        <v>1.6898148148148148E-3</v>
      </c>
      <c r="I335">
        <v>2020</v>
      </c>
      <c r="J335" t="s">
        <v>59</v>
      </c>
      <c r="K335" s="2" t="str">
        <f>HYPERLINK("https://www.nba.com/stats/events?CFID=&amp;CFPARAMS=&amp;GameEventID=266&amp;GameID=0022000172&amp;Season=2020-21&amp;flag=1&amp;title=P.%20George%2024'%203PT%20%20(12%20PTS)%20(K.%20Leonard%204%20AST)", "P. George 24' 3PT  (12 PTS) (K. Leonard 4 AST)")</f>
        <v>P. George 24' 3PT  (12 PTS) (K. Leonard 4 AST)</v>
      </c>
      <c r="L335" s="2" t="str">
        <f>HYPERLINK("https://www.nba.com/game/...-vs-...-0022000172/play-by-play?watchFullGame=true", "LAC vs NOP - Q2 02:26.00")</f>
        <v>LAC vs NOP - Q2 02:26.00</v>
      </c>
      <c r="M335">
        <v>24.68</v>
      </c>
      <c r="N335">
        <v>17.79</v>
      </c>
      <c r="O335">
        <v>6.3</v>
      </c>
      <c r="P335">
        <v>218</v>
      </c>
      <c r="Q335">
        <v>115</v>
      </c>
      <c r="R335">
        <v>17</v>
      </c>
      <c r="S335">
        <v>6</v>
      </c>
      <c r="T335" t="s">
        <v>73</v>
      </c>
    </row>
    <row r="336" spans="1:20" x14ac:dyDescent="0.25">
      <c r="A336">
        <v>22301064</v>
      </c>
      <c r="B336" t="s">
        <v>4</v>
      </c>
      <c r="C336" t="s">
        <v>9</v>
      </c>
      <c r="D336">
        <v>20</v>
      </c>
      <c r="E336">
        <v>19</v>
      </c>
      <c r="F336">
        <v>1</v>
      </c>
      <c r="G336">
        <v>1</v>
      </c>
      <c r="H336" s="1">
        <v>1.6898148148148148E-3</v>
      </c>
      <c r="I336">
        <v>2023</v>
      </c>
      <c r="J336" t="s">
        <v>59</v>
      </c>
      <c r="K336" s="2" t="str">
        <f>HYPERLINK("https://www.nba.com/stats/events?CFID=&amp;CFPARAMS=&amp;GameEventID=107&amp;GameID=0022301064&amp;Season=2023-24&amp;flag=1&amp;title=N.%20Powell%2011'%20driving%20floating%20Jump%20Shot%20(2%20PTS)%20(K.%20Leonard%203%20AST)", "N. Powell 11' driving floating Jump Shot (2 PTS) (K. Leonard 3 AST)")</f>
        <v>N. Powell 11' driving floating Jump Shot (2 PTS) (K. Leonard 3 AST)</v>
      </c>
      <c r="L336" s="2" t="str">
        <f>HYPERLINK("https://www.nba.com/game/...-vs-...-0022301064/play-by-play?watchFullGame=true", "LAC vs ORL - Q1 02:26.00")</f>
        <v>LAC vs ORL - Q1 02:26.00</v>
      </c>
      <c r="M336">
        <v>11.14</v>
      </c>
      <c r="N336">
        <v>17.43</v>
      </c>
      <c r="O336">
        <v>50.74</v>
      </c>
      <c r="P336">
        <v>-4</v>
      </c>
      <c r="Q336">
        <v>111</v>
      </c>
      <c r="R336">
        <v>17</v>
      </c>
      <c r="S336">
        <v>50</v>
      </c>
      <c r="T336" t="s">
        <v>73</v>
      </c>
    </row>
    <row r="337" spans="1:20" x14ac:dyDescent="0.25">
      <c r="A337">
        <v>41900232</v>
      </c>
      <c r="B337" t="s">
        <v>4</v>
      </c>
      <c r="C337" t="s">
        <v>61</v>
      </c>
      <c r="D337">
        <v>68</v>
      </c>
      <c r="E337">
        <v>83</v>
      </c>
      <c r="F337">
        <v>15</v>
      </c>
      <c r="G337">
        <v>3</v>
      </c>
      <c r="H337" s="1">
        <v>3.2870370370370371E-3</v>
      </c>
      <c r="I337" t="s">
        <v>62</v>
      </c>
      <c r="J337" t="s">
        <v>59</v>
      </c>
      <c r="K337" s="2" t="str">
        <f>HYPERLINK("https://www.nba.com/stats/events?CFID=&amp;CFPARAMS=&amp;GameEventID=421&amp;GameID=0041900232&amp;Season=2019-20&amp;flag=1&amp;title=L.%20Shamet%2013'%20jumpshot%20(2%20PTS)%20(K.%20Leonard%204%20AST)", "L. Shamet 13' jumpshot (2 PTS) (K. Leonard 4 AST)")</f>
        <v>L. Shamet 13' jumpshot (2 PTS) (K. Leonard 4 AST)</v>
      </c>
      <c r="L337" s="2" t="str">
        <f>HYPERLINK("https://www.nba.com/game/...-vs-...-0041900232/play-by-play?watchFullGame=true", "LAC vs DEN - Q3 04:44.00")</f>
        <v>LAC vs DEN - Q3 04:44.00</v>
      </c>
      <c r="M337">
        <v>13.28</v>
      </c>
      <c r="N337">
        <v>17.95</v>
      </c>
      <c r="O337">
        <v>60.61</v>
      </c>
      <c r="P337">
        <v>-53</v>
      </c>
      <c r="Q337">
        <v>116</v>
      </c>
      <c r="R337">
        <v>17</v>
      </c>
      <c r="S337">
        <v>60</v>
      </c>
      <c r="T337" t="s">
        <v>73</v>
      </c>
    </row>
    <row r="338" spans="1:20" x14ac:dyDescent="0.25">
      <c r="A338">
        <v>22201082</v>
      </c>
      <c r="B338" t="s">
        <v>4</v>
      </c>
      <c r="C338" t="s">
        <v>9</v>
      </c>
      <c r="D338">
        <v>79</v>
      </c>
      <c r="E338">
        <v>76</v>
      </c>
      <c r="F338">
        <v>3</v>
      </c>
      <c r="G338">
        <v>3</v>
      </c>
      <c r="H338" s="1">
        <v>1.724537037037037E-3</v>
      </c>
      <c r="I338">
        <v>2022</v>
      </c>
      <c r="J338" t="s">
        <v>59</v>
      </c>
      <c r="K338" s="2" t="str">
        <f>HYPERLINK("https://www.nba.com/stats/events?CFID=&amp;CFPARAMS=&amp;GameEventID=483&amp;GameID=0022201082&amp;Season=2022-23&amp;flag=1&amp;title=E.%20Gordon%2012'%20floating%20Jump%20Shot%20(2%20PTS)%20(K.%20Leonard%203%20AST)", "E. Gordon 12' floating Jump Shot (2 PTS) (K. Leonard 3 AST)")</f>
        <v>E. Gordon 12' floating Jump Shot (2 PTS) (K. Leonard 3 AST)</v>
      </c>
      <c r="L338" s="2" t="str">
        <f>HYPERLINK("https://www.nba.com/game/...-vs-...-0022201082/play-by-play?watchFullGame=true", "LAC vs OKC - Q3 02:29.00")</f>
        <v>LAC vs OKC - Q3 02:29.00</v>
      </c>
      <c r="M338">
        <v>12.48</v>
      </c>
      <c r="N338">
        <v>18.71</v>
      </c>
      <c r="O338">
        <v>46.32</v>
      </c>
      <c r="P338">
        <v>18</v>
      </c>
      <c r="Q338">
        <v>123</v>
      </c>
      <c r="R338">
        <v>18</v>
      </c>
      <c r="S338">
        <v>46</v>
      </c>
      <c r="T338" t="s">
        <v>73</v>
      </c>
    </row>
    <row r="339" spans="1:20" x14ac:dyDescent="0.25">
      <c r="A339">
        <v>21900618</v>
      </c>
      <c r="B339" t="s">
        <v>4</v>
      </c>
      <c r="C339" t="s">
        <v>61</v>
      </c>
      <c r="D339">
        <v>82</v>
      </c>
      <c r="E339">
        <v>59</v>
      </c>
      <c r="F339">
        <v>23</v>
      </c>
      <c r="G339">
        <v>3</v>
      </c>
      <c r="H339" s="1">
        <v>4.9652777777777777E-3</v>
      </c>
      <c r="I339">
        <v>2019</v>
      </c>
      <c r="J339" t="s">
        <v>59</v>
      </c>
      <c r="K339" s="2" t="str">
        <f>HYPERLINK("https://www.nba.com/stats/events?CFID=&amp;CFPARAMS=&amp;GameEventID=372&amp;GameID=0021900618&amp;Season=2019-20&amp;flag=1&amp;title=L.%20Shamet%2013'%20jumpshot%20(13%20PTS)%20(K.%20Leonard%203%20AST)", "L. Shamet 13' jumpshot (13 PTS) (K. Leonard 3 AST)")</f>
        <v>L. Shamet 13' jumpshot (13 PTS) (K. Leonard 3 AST)</v>
      </c>
      <c r="L339" s="2" t="str">
        <f>HYPERLINK("https://www.nba.com/game/...-vs-...-0021900618/play-by-play?watchFullGame=true", "LAC vs ORL - Q3 07:09.00")</f>
        <v>LAC vs ORL - Q3 07:09.00</v>
      </c>
      <c r="M339">
        <v>12.57</v>
      </c>
      <c r="N339">
        <v>18.309999999999999</v>
      </c>
      <c r="O339">
        <v>47.73</v>
      </c>
      <c r="P339">
        <v>11</v>
      </c>
      <c r="Q339">
        <v>120</v>
      </c>
      <c r="R339">
        <v>18</v>
      </c>
      <c r="S339">
        <v>47</v>
      </c>
      <c r="T339" t="s">
        <v>73</v>
      </c>
    </row>
    <row r="340" spans="1:20" x14ac:dyDescent="0.25">
      <c r="A340">
        <v>22400793</v>
      </c>
      <c r="B340" t="s">
        <v>4</v>
      </c>
      <c r="C340" t="s">
        <v>70</v>
      </c>
      <c r="D340">
        <v>2</v>
      </c>
      <c r="E340">
        <v>3</v>
      </c>
      <c r="F340">
        <v>1</v>
      </c>
      <c r="G340">
        <v>1</v>
      </c>
      <c r="H340" s="1">
        <v>7.9282407407407409E-3</v>
      </c>
      <c r="I340">
        <v>2024</v>
      </c>
      <c r="J340" t="s">
        <v>59</v>
      </c>
      <c r="K340" s="2" t="str">
        <f>HYPERLINK("https://www.nba.com/stats/events?CFID=&amp;CFPARAMS=&amp;GameEventID=9&amp;GameID=0022400793&amp;Season=2024-25&amp;flag=1&amp;title=I.%20Zubac%2012'%20Hook%20(2%20PTS)%20(K.%20Leonard%201%20AST)", "I. Zubac 12' Hook (2 PTS) (K. Leonard 1 AST)")</f>
        <v>I. Zubac 12' Hook (2 PTS) (K. Leonard 1 AST)</v>
      </c>
      <c r="L340" s="2" t="str">
        <f>HYPERLINK("https://www.nba.com/game/...-vs-...-0022400793/play-by-play?watchFullGame=true", "LAC vs MIL - Q1 11:25.00")</f>
        <v>LAC vs MIL - Q1 11:25.00</v>
      </c>
      <c r="M340">
        <v>12.73</v>
      </c>
      <c r="N340">
        <v>18.87</v>
      </c>
      <c r="O340">
        <v>45.1</v>
      </c>
      <c r="P340">
        <v>25</v>
      </c>
      <c r="Q340">
        <v>125</v>
      </c>
      <c r="R340">
        <v>18</v>
      </c>
      <c r="S340">
        <v>45</v>
      </c>
      <c r="T340" t="s">
        <v>73</v>
      </c>
    </row>
    <row r="341" spans="1:20" x14ac:dyDescent="0.25">
      <c r="A341">
        <v>41900154</v>
      </c>
      <c r="B341" t="s">
        <v>10</v>
      </c>
      <c r="C341" t="s">
        <v>61</v>
      </c>
      <c r="D341">
        <v>26</v>
      </c>
      <c r="E341">
        <v>13</v>
      </c>
      <c r="F341">
        <v>13</v>
      </c>
      <c r="G341">
        <v>1</v>
      </c>
      <c r="H341" s="1">
        <v>2.5347222222222221E-3</v>
      </c>
      <c r="I341" t="s">
        <v>68</v>
      </c>
      <c r="J341" t="s">
        <v>59</v>
      </c>
      <c r="K341" s="2" t="str">
        <f>HYPERLINK("https://www.nba.com/stats/events?CFID=&amp;CFPARAMS=&amp;GameEventID=110&amp;GameID=0041900154&amp;Season=2019-20&amp;flag=1&amp;title=R.%20Jackson%2026'%203PT%20%20(6%20PTS)%20(K.%20Leonard%202%20AST)", "R. Jackson 26' 3PT  (6 PTS) (K. Leonard 2 AST)")</f>
        <v>R. Jackson 26' 3PT  (6 PTS) (K. Leonard 2 AST)</v>
      </c>
      <c r="L341" s="2" t="str">
        <f>HYPERLINK("https://www.nba.com/game/...-vs-...-0041900154/play-by-play?watchFullGame=true", "LAC vs DAL - Q1 03:39.00")</f>
        <v>LAC vs DAL - Q1 03:39.00</v>
      </c>
      <c r="M341">
        <v>25.58</v>
      </c>
      <c r="N341">
        <v>18.61</v>
      </c>
      <c r="O341">
        <v>5.71</v>
      </c>
      <c r="P341">
        <v>221</v>
      </c>
      <c r="Q341">
        <v>122</v>
      </c>
      <c r="R341">
        <v>18</v>
      </c>
      <c r="S341">
        <v>5</v>
      </c>
      <c r="T341" t="s">
        <v>73</v>
      </c>
    </row>
    <row r="342" spans="1:20" x14ac:dyDescent="0.25">
      <c r="A342">
        <v>41900151</v>
      </c>
      <c r="B342" t="s">
        <v>10</v>
      </c>
      <c r="C342" t="s">
        <v>61</v>
      </c>
      <c r="D342">
        <v>80</v>
      </c>
      <c r="E342">
        <v>76</v>
      </c>
      <c r="F342">
        <v>4</v>
      </c>
      <c r="G342">
        <v>3</v>
      </c>
      <c r="H342" s="1">
        <v>3.5879629629629629E-3</v>
      </c>
      <c r="I342" t="s">
        <v>68</v>
      </c>
      <c r="J342" t="s">
        <v>59</v>
      </c>
      <c r="K342" s="2" t="str">
        <f>HYPERLINK("https://www.nba.com/stats/events?CFID=&amp;CFPARAMS=&amp;GameEventID=451&amp;GameID=0041900151&amp;Season=2019-20&amp;flag=1&amp;title=P.%20George%2026'%203PT%20%20(18%20PTS)%20(K.%20Leonard%204%20AST)", "P. George 26' 3PT  (18 PTS) (K. Leonard 4 AST)")</f>
        <v>P. George 26' 3PT  (18 PTS) (K. Leonard 4 AST)</v>
      </c>
      <c r="L342" s="2" t="str">
        <f>HYPERLINK("https://www.nba.com/game/...-vs-...-0041900151/play-by-play?watchFullGame=true", "LAC vs DAL - Q3 05:10.00")</f>
        <v>LAC vs DAL - Q3 05:10.00</v>
      </c>
      <c r="M342">
        <v>25.71</v>
      </c>
      <c r="N342">
        <v>18.22</v>
      </c>
      <c r="O342">
        <v>4.97</v>
      </c>
      <c r="P342">
        <v>225</v>
      </c>
      <c r="Q342">
        <v>119</v>
      </c>
      <c r="R342">
        <v>18</v>
      </c>
      <c r="S342">
        <v>4</v>
      </c>
      <c r="T342" t="s">
        <v>73</v>
      </c>
    </row>
    <row r="343" spans="1:20" x14ac:dyDescent="0.25">
      <c r="A343">
        <v>22200509</v>
      </c>
      <c r="B343" t="s">
        <v>4</v>
      </c>
      <c r="C343" t="s">
        <v>9</v>
      </c>
      <c r="D343">
        <v>115</v>
      </c>
      <c r="E343">
        <v>100</v>
      </c>
      <c r="F343">
        <v>15</v>
      </c>
      <c r="G343">
        <v>4</v>
      </c>
      <c r="H343" s="1">
        <v>3.5185185185185185E-3</v>
      </c>
      <c r="I343">
        <v>2022</v>
      </c>
      <c r="J343" t="s">
        <v>59</v>
      </c>
      <c r="K343" s="2" t="str">
        <f>HYPERLINK("https://www.nba.com/stats/events?CFID=&amp;CFPARAMS=&amp;GameEventID=580&amp;GameID=0022200509&amp;Season=2022-23&amp;flag=1&amp;title=R.%20Jackson%2012'%20floating%20Jump%20Shot%20(20%20PTS)%20(K.%20Leonard%207%20AST)", "R. Jackson 12' floating Jump Shot (20 PTS) (K. Leonard 7 AST)")</f>
        <v>R. Jackson 12' floating Jump Shot (20 PTS) (K. Leonard 7 AST)</v>
      </c>
      <c r="L343" s="2" t="str">
        <f>HYPERLINK("https://www.nba.com/game/...-vs-...-0022200509/play-by-play?watchFullGame=true", "LAC vs TOR - Q4 05:04.00")</f>
        <v>LAC vs TOR - Q4 05:04.00</v>
      </c>
      <c r="M343">
        <v>12.18</v>
      </c>
      <c r="N343">
        <v>18.350000000000001</v>
      </c>
      <c r="O343">
        <v>45.83</v>
      </c>
      <c r="P343">
        <v>21</v>
      </c>
      <c r="Q343">
        <v>120</v>
      </c>
      <c r="R343">
        <v>18</v>
      </c>
      <c r="S343">
        <v>45</v>
      </c>
      <c r="T343" t="s">
        <v>73</v>
      </c>
    </row>
    <row r="344" spans="1:20" x14ac:dyDescent="0.25">
      <c r="A344">
        <v>21901241</v>
      </c>
      <c r="B344" t="s">
        <v>10</v>
      </c>
      <c r="C344" t="s">
        <v>61</v>
      </c>
      <c r="D344">
        <v>3</v>
      </c>
      <c r="E344">
        <v>0</v>
      </c>
      <c r="F344">
        <v>3</v>
      </c>
      <c r="G344">
        <v>1</v>
      </c>
      <c r="H344" s="1">
        <v>7.9745370370370369E-3</v>
      </c>
      <c r="I344">
        <v>2019</v>
      </c>
      <c r="J344" t="s">
        <v>59</v>
      </c>
      <c r="K344" s="2" t="str">
        <f>HYPERLINK("https://www.nba.com/stats/events?CFID=&amp;CFPARAMS=&amp;GameEventID=10&amp;GameID=0021901241&amp;Season=2019-20&amp;flag=1&amp;title=P.%20Beverley%2024'%203PT%20%20(3%20PTS)%20(K.%20Leonard%201%20AST)", "P. Beverley 24' 3PT  (3 PTS) (K. Leonard 1 AST)")</f>
        <v>P. Beverley 24' 3PT  (3 PTS) (K. Leonard 1 AST)</v>
      </c>
      <c r="L344" s="2" t="str">
        <f>HYPERLINK("https://www.nba.com/game/...-vs-...-0021901241/play-by-play?watchFullGame=true", "LAC vs NOP - Q1 11:29.00")</f>
        <v>LAC vs NOP - Q1 11:29.00</v>
      </c>
      <c r="M344">
        <v>23.96</v>
      </c>
      <c r="N344">
        <v>18.61</v>
      </c>
      <c r="O344">
        <v>90.51</v>
      </c>
      <c r="P344">
        <v>-203</v>
      </c>
      <c r="Q344">
        <v>122</v>
      </c>
      <c r="R344">
        <v>18</v>
      </c>
      <c r="S344">
        <v>90</v>
      </c>
      <c r="T344" t="s">
        <v>73</v>
      </c>
    </row>
    <row r="345" spans="1:20" x14ac:dyDescent="0.25">
      <c r="A345">
        <v>22000488</v>
      </c>
      <c r="B345" t="s">
        <v>10</v>
      </c>
      <c r="C345" t="s">
        <v>9</v>
      </c>
      <c r="D345">
        <v>85</v>
      </c>
      <c r="E345">
        <v>67</v>
      </c>
      <c r="F345">
        <v>18</v>
      </c>
      <c r="G345">
        <v>3</v>
      </c>
      <c r="H345" s="1">
        <v>6.2962962962962964E-3</v>
      </c>
      <c r="I345">
        <v>2020</v>
      </c>
      <c r="J345" t="s">
        <v>59</v>
      </c>
      <c r="K345" s="2" t="str">
        <f>HYPERLINK("https://www.nba.com/stats/events?CFID=&amp;CFPARAMS=&amp;GameEventID=356&amp;GameID=0022000488&amp;Season=2020-21&amp;flag=1&amp;title=P.%20Beverley%2024'%203PT%20%20(5%20PTS)%20(K.%20Leonard%203%20AST)", "P. Beverley 24' 3PT  (5 PTS) (K. Leonard 3 AST)")</f>
        <v>P. Beverley 24' 3PT  (5 PTS) (K. Leonard 3 AST)</v>
      </c>
      <c r="L345" s="2" t="str">
        <f>HYPERLINK("https://www.nba.com/game/...-vs-...-0022000488/play-by-play?watchFullGame=true", "LAC vs WAS - Q3 09:04.00")</f>
        <v>LAC vs WAS - Q3 09:04.00</v>
      </c>
      <c r="M345">
        <v>24.99</v>
      </c>
      <c r="N345">
        <v>18.48</v>
      </c>
      <c r="O345">
        <v>93.7</v>
      </c>
      <c r="P345">
        <v>-218</v>
      </c>
      <c r="Q345">
        <v>121</v>
      </c>
      <c r="R345">
        <v>18</v>
      </c>
      <c r="S345">
        <v>93</v>
      </c>
      <c r="T345" t="s">
        <v>73</v>
      </c>
    </row>
    <row r="346" spans="1:20" x14ac:dyDescent="0.25">
      <c r="A346">
        <v>22300127</v>
      </c>
      <c r="B346" t="s">
        <v>10</v>
      </c>
      <c r="C346" t="s">
        <v>9</v>
      </c>
      <c r="D346">
        <v>109</v>
      </c>
      <c r="E346">
        <v>114</v>
      </c>
      <c r="F346">
        <v>5</v>
      </c>
      <c r="G346">
        <v>4</v>
      </c>
      <c r="H346" s="1">
        <v>9.7222222222222219E-4</v>
      </c>
      <c r="I346">
        <v>2023</v>
      </c>
      <c r="J346" t="s">
        <v>59</v>
      </c>
      <c r="K346" s="2" t="str">
        <f>HYPERLINK("https://www.nba.com/stats/events?CFID=&amp;CFPARAMS=&amp;GameEventID=644&amp;GameID=0022300127&amp;Season=2023-24&amp;flag=1&amp;title=R.%20Westbrook%2026'%203PT%20%20(24%20PTS)%20(K.%20Leonard%205%20AST)", "R. Westbrook 26' 3PT  (24 PTS) (K. Leonard 5 AST)")</f>
        <v>R. Westbrook 26' 3PT  (24 PTS) (K. Leonard 5 AST)</v>
      </c>
      <c r="L346" s="2" t="str">
        <f>HYPERLINK("https://www.nba.com/game/...-vs-...-0022300127/play-by-play?watchFullGame=true", "LAC vs LAL - Q4 01:24.00")</f>
        <v>LAC vs LAL - Q4 01:24.00</v>
      </c>
      <c r="M346">
        <v>26.02</v>
      </c>
      <c r="N346">
        <v>18.45</v>
      </c>
      <c r="O346">
        <v>3.92</v>
      </c>
      <c r="P346">
        <v>230</v>
      </c>
      <c r="Q346">
        <v>121</v>
      </c>
      <c r="R346">
        <v>18</v>
      </c>
      <c r="S346">
        <v>3</v>
      </c>
      <c r="T346" t="s">
        <v>73</v>
      </c>
    </row>
    <row r="347" spans="1:20" x14ac:dyDescent="0.25">
      <c r="A347">
        <v>41900232</v>
      </c>
      <c r="B347" t="s">
        <v>10</v>
      </c>
      <c r="C347" t="s">
        <v>61</v>
      </c>
      <c r="D347">
        <v>94</v>
      </c>
      <c r="E347">
        <v>101</v>
      </c>
      <c r="F347">
        <v>7</v>
      </c>
      <c r="G347">
        <v>4</v>
      </c>
      <c r="H347" s="1">
        <v>1.8171296296296297E-3</v>
      </c>
      <c r="I347" t="s">
        <v>62</v>
      </c>
      <c r="J347" t="s">
        <v>59</v>
      </c>
      <c r="K347" s="2" t="str">
        <f>HYPERLINK("https://www.nba.com/stats/events?CFID=&amp;CFPARAMS=&amp;GameEventID=636&amp;GameID=0041900232&amp;Season=2019-20&amp;flag=1&amp;title=M.%20Morris%20Sr.%2026'%203PT%20%20(6%20PTS)%20(K.%20Leonard%208%20AST)", "M. Morris Sr. 26' 3PT  (6 PTS) (K. Leonard 8 AST)")</f>
        <v>M. Morris Sr. 26' 3PT  (6 PTS) (K. Leonard 8 AST)</v>
      </c>
      <c r="L347" s="2" t="str">
        <f>HYPERLINK("https://www.nba.com/game/...-vs-...-0041900232/play-by-play?watchFullGame=true", "LAC vs DEN - Q4 02:37.00")</f>
        <v>LAC vs DEN - Q4 02:37.00</v>
      </c>
      <c r="M347">
        <v>26.13</v>
      </c>
      <c r="N347">
        <v>18.87</v>
      </c>
      <c r="O347">
        <v>4.7300000000000004</v>
      </c>
      <c r="P347">
        <v>226</v>
      </c>
      <c r="Q347">
        <v>125</v>
      </c>
      <c r="R347">
        <v>18</v>
      </c>
      <c r="S347">
        <v>4</v>
      </c>
      <c r="T347" t="s">
        <v>73</v>
      </c>
    </row>
    <row r="348" spans="1:20" x14ac:dyDescent="0.25">
      <c r="A348">
        <v>22000105</v>
      </c>
      <c r="B348" t="s">
        <v>4</v>
      </c>
      <c r="C348" t="s">
        <v>9</v>
      </c>
      <c r="D348">
        <v>5</v>
      </c>
      <c r="E348">
        <v>12</v>
      </c>
      <c r="F348">
        <v>7</v>
      </c>
      <c r="G348">
        <v>1</v>
      </c>
      <c r="H348" s="1">
        <v>4.9074074074074072E-3</v>
      </c>
      <c r="I348">
        <v>2020</v>
      </c>
      <c r="J348" t="s">
        <v>59</v>
      </c>
      <c r="K348" s="2" t="str">
        <f>HYPERLINK("https://www.nba.com/stats/events?CFID=&amp;CFPARAMS=&amp;GameEventID=53&amp;GameID=0022000105&amp;Season=2020-21&amp;flag=1&amp;title=L.%20Kennard%2016'%20pullup%20Jump%20Shot%20(2%20PTS)%20(K.%20Leonard%201%20AST)", "L. Kennard 16' pullup Jump Shot (2 PTS) (K. Leonard 1 AST)")</f>
        <v>L. Kennard 16' pullup Jump Shot (2 PTS) (K. Leonard 1 AST)</v>
      </c>
      <c r="L348" s="2" t="str">
        <f>HYPERLINK("https://www.nba.com/game/...-vs-...-0022000105/play-by-play?watchFullGame=true", "LAC vs SAS - Q1 07:04.00")</f>
        <v>LAC vs SAS - Q1 07:04.00</v>
      </c>
      <c r="M348">
        <v>16.489999999999998</v>
      </c>
      <c r="N348">
        <v>19.53</v>
      </c>
      <c r="O348">
        <v>29.97</v>
      </c>
      <c r="P348">
        <v>100</v>
      </c>
      <c r="Q348">
        <v>131</v>
      </c>
      <c r="R348">
        <v>19</v>
      </c>
      <c r="S348">
        <v>29</v>
      </c>
      <c r="T348" t="s">
        <v>73</v>
      </c>
    </row>
    <row r="349" spans="1:20" x14ac:dyDescent="0.25">
      <c r="A349">
        <v>22300676</v>
      </c>
      <c r="B349" t="s">
        <v>4</v>
      </c>
      <c r="C349" t="s">
        <v>9</v>
      </c>
      <c r="D349">
        <v>106</v>
      </c>
      <c r="E349">
        <v>79</v>
      </c>
      <c r="F349">
        <v>27</v>
      </c>
      <c r="G349">
        <v>3</v>
      </c>
      <c r="H349" s="1">
        <v>1.9328703703703703E-4</v>
      </c>
      <c r="I349">
        <v>2023</v>
      </c>
      <c r="J349" t="s">
        <v>59</v>
      </c>
      <c r="K349" s="2" t="str">
        <f>HYPERLINK("https://www.nba.com/stats/events?CFID=&amp;CFPARAMS=&amp;GameEventID=459&amp;GameID=0022300676&amp;Season=2023-24&amp;flag=1&amp;title=N.%20Powell%2013'%20pullup%20Jump%20Shot%20(10%20PTS)%20(K.%20Leonard%204%20AST)", "N. Powell 13' pullup Jump Shot (10 PTS) (K. Leonard 4 AST)")</f>
        <v>N. Powell 13' pullup Jump Shot (10 PTS) (K. Leonard 4 AST)</v>
      </c>
      <c r="L349" s="2" t="str">
        <f>HYPERLINK("https://www.nba.com/game/...-vs-...-0022300676/play-by-play?watchFullGame=true", "LAC vs WAS - Q3 00:16.70")</f>
        <v>LAC vs WAS - Q3 00:16.70</v>
      </c>
      <c r="M349">
        <v>13.52</v>
      </c>
      <c r="N349">
        <v>19.920000000000002</v>
      </c>
      <c r="O349">
        <v>52.21</v>
      </c>
      <c r="P349">
        <v>-11</v>
      </c>
      <c r="Q349">
        <v>135</v>
      </c>
      <c r="R349">
        <v>19</v>
      </c>
      <c r="S349">
        <v>52</v>
      </c>
      <c r="T349" t="s">
        <v>73</v>
      </c>
    </row>
    <row r="350" spans="1:20" x14ac:dyDescent="0.25">
      <c r="A350">
        <v>22300880</v>
      </c>
      <c r="B350" t="s">
        <v>4</v>
      </c>
      <c r="C350" t="s">
        <v>9</v>
      </c>
      <c r="D350">
        <v>9</v>
      </c>
      <c r="E350">
        <v>11</v>
      </c>
      <c r="F350">
        <v>2</v>
      </c>
      <c r="G350">
        <v>1</v>
      </c>
      <c r="H350" s="1">
        <v>5.4513888888888893E-3</v>
      </c>
      <c r="I350">
        <v>2023</v>
      </c>
      <c r="J350" t="s">
        <v>59</v>
      </c>
      <c r="K350" s="2" t="str">
        <f>HYPERLINK("https://www.nba.com/stats/events?CFID=&amp;CFPARAMS=&amp;GameEventID=43&amp;GameID=0022300880&amp;Season=2023-24&amp;flag=1&amp;title=P.%20George%2017'%20step%20back%20Jump%20Shot%20(5%20PTS)%20(K.%20Leonard%201%20AST)", "P. George 17' step back Jump Shot (5 PTS) (K. Leonard 1 AST)")</f>
        <v>P. George 17' step back Jump Shot (5 PTS) (K. Leonard 1 AST)</v>
      </c>
      <c r="L350" s="2" t="str">
        <f>HYPERLINK("https://www.nba.com/game/...-vs-...-0022300880/play-by-play?watchFullGame=true", "LAC vs MIL - Q1 07:51.00")</f>
        <v>LAC vs MIL - Q1 07:51.00</v>
      </c>
      <c r="M350">
        <v>17.41</v>
      </c>
      <c r="N350">
        <v>19</v>
      </c>
      <c r="O350">
        <v>25.98</v>
      </c>
      <c r="P350">
        <v>120</v>
      </c>
      <c r="Q350">
        <v>126</v>
      </c>
      <c r="R350">
        <v>19</v>
      </c>
      <c r="S350">
        <v>25</v>
      </c>
      <c r="T350" t="s">
        <v>73</v>
      </c>
    </row>
    <row r="351" spans="1:20" x14ac:dyDescent="0.25">
      <c r="A351">
        <v>22000105</v>
      </c>
      <c r="B351" t="s">
        <v>4</v>
      </c>
      <c r="C351" t="s">
        <v>9</v>
      </c>
      <c r="D351">
        <v>18</v>
      </c>
      <c r="E351">
        <v>20</v>
      </c>
      <c r="F351">
        <v>2</v>
      </c>
      <c r="G351">
        <v>1</v>
      </c>
      <c r="H351" s="1">
        <v>2.0486111111111113E-3</v>
      </c>
      <c r="I351">
        <v>2020</v>
      </c>
      <c r="J351" t="s">
        <v>59</v>
      </c>
      <c r="K351" s="2" t="str">
        <f>HYPERLINK("https://www.nba.com/stats/events?CFID=&amp;CFPARAMS=&amp;GameEventID=91&amp;GameID=0022000105&amp;Season=2020-21&amp;flag=1&amp;title=L.%20Williams%2015'%20pullup%20Jump%20Shot%20(2%20PTS)%20(K.%20Leonard%202%20AST)", "L. Williams 15' pullup Jump Shot (2 PTS) (K. Leonard 2 AST)")</f>
        <v>L. Williams 15' pullup Jump Shot (2 PTS) (K. Leonard 2 AST)</v>
      </c>
      <c r="L351" s="2" t="str">
        <f>HYPERLINK("https://www.nba.com/game/...-vs-...-0022000105/play-by-play?watchFullGame=true", "LAC vs SAS - Q1 02:57.00")</f>
        <v>LAC vs SAS - Q1 02:57.00</v>
      </c>
      <c r="M351">
        <v>15.44</v>
      </c>
      <c r="N351">
        <v>19.27</v>
      </c>
      <c r="O351">
        <v>32.909999999999997</v>
      </c>
      <c r="P351">
        <v>85</v>
      </c>
      <c r="Q351">
        <v>129</v>
      </c>
      <c r="R351">
        <v>19</v>
      </c>
      <c r="S351">
        <v>32</v>
      </c>
      <c r="T351" t="s">
        <v>73</v>
      </c>
    </row>
    <row r="352" spans="1:20" x14ac:dyDescent="0.25">
      <c r="A352">
        <v>21901291</v>
      </c>
      <c r="B352" t="s">
        <v>4</v>
      </c>
      <c r="C352" t="s">
        <v>61</v>
      </c>
      <c r="D352">
        <v>79</v>
      </c>
      <c r="E352">
        <v>84</v>
      </c>
      <c r="F352">
        <v>5</v>
      </c>
      <c r="G352">
        <v>3</v>
      </c>
      <c r="H352" s="1">
        <v>5.4050925925925924E-3</v>
      </c>
      <c r="I352">
        <v>2019</v>
      </c>
      <c r="J352" t="s">
        <v>59</v>
      </c>
      <c r="K352" s="2" t="str">
        <f>HYPERLINK("https://www.nba.com/stats/events?CFID=&amp;CFPARAMS=&amp;GameEventID=381&amp;GameID=0021901291&amp;Season=2019-20&amp;flag=1&amp;title=M.%20Morris%20Sr.%2017'%20jumpshot%20(9%20PTS)%20(K.%20Leonard%204%20AST)", "M. Morris Sr. 17' jumpshot (9 PTS) (K. Leonard 4 AST)")</f>
        <v>M. Morris Sr. 17' jumpshot (9 PTS) (K. Leonard 4 AST)</v>
      </c>
      <c r="L352" s="2" t="str">
        <f>HYPERLINK("https://www.nba.com/game/...-vs-...-0021901291/play-by-play?watchFullGame=true", "LAC vs BKN - Q3 07:47.00")</f>
        <v>LAC vs BKN - Q3 07:47.00</v>
      </c>
      <c r="M352">
        <v>16.760000000000002</v>
      </c>
      <c r="N352">
        <v>19</v>
      </c>
      <c r="O352">
        <v>29.24</v>
      </c>
      <c r="P352">
        <v>104</v>
      </c>
      <c r="Q352">
        <v>126</v>
      </c>
      <c r="R352">
        <v>19</v>
      </c>
      <c r="S352">
        <v>29</v>
      </c>
      <c r="T352" t="s">
        <v>73</v>
      </c>
    </row>
    <row r="353" spans="1:20" x14ac:dyDescent="0.25">
      <c r="A353">
        <v>22000239</v>
      </c>
      <c r="B353" t="s">
        <v>10</v>
      </c>
      <c r="C353" t="s">
        <v>9</v>
      </c>
      <c r="D353">
        <v>112</v>
      </c>
      <c r="E353">
        <v>96</v>
      </c>
      <c r="F353">
        <v>16</v>
      </c>
      <c r="G353">
        <v>4</v>
      </c>
      <c r="H353" s="1">
        <v>2.7662037037037039E-3</v>
      </c>
      <c r="I353">
        <v>2020</v>
      </c>
      <c r="J353" t="s">
        <v>59</v>
      </c>
      <c r="K353" s="2" t="str">
        <f>HYPERLINK("https://www.nba.com/stats/events?CFID=&amp;CFPARAMS=&amp;GameEventID=574&amp;GameID=0022000239&amp;Season=2020-21&amp;flag=1&amp;title=N.%20Batum%2025'%203PT%20%20(14%20PTS)%20(K.%20Leonard%202%20AST)", "N. Batum 25' 3PT  (14 PTS) (K. Leonard 2 AST)")</f>
        <v>N. Batum 25' 3PT  (14 PTS) (K. Leonard 2 AST)</v>
      </c>
      <c r="L353" s="2" t="str">
        <f>HYPERLINK("https://www.nba.com/game/...-vs-...-0022000239/play-by-play?watchFullGame=true", "LAC vs OKC - Q4 03:59.00")</f>
        <v>LAC vs OKC - Q4 03:59.00</v>
      </c>
      <c r="M353">
        <v>25.23</v>
      </c>
      <c r="N353">
        <v>19</v>
      </c>
      <c r="O353">
        <v>93.7</v>
      </c>
      <c r="P353">
        <v>-218</v>
      </c>
      <c r="Q353">
        <v>126</v>
      </c>
      <c r="R353">
        <v>19</v>
      </c>
      <c r="S353">
        <v>93</v>
      </c>
      <c r="T353" t="s">
        <v>73</v>
      </c>
    </row>
    <row r="354" spans="1:20" x14ac:dyDescent="0.25">
      <c r="A354">
        <v>22301043</v>
      </c>
      <c r="B354" t="s">
        <v>4</v>
      </c>
      <c r="C354" t="s">
        <v>9</v>
      </c>
      <c r="D354">
        <v>55</v>
      </c>
      <c r="E354">
        <v>54</v>
      </c>
      <c r="F354">
        <v>1</v>
      </c>
      <c r="G354">
        <v>2</v>
      </c>
      <c r="H354" s="1">
        <v>2.8124999999999999E-3</v>
      </c>
      <c r="I354">
        <v>2023</v>
      </c>
      <c r="J354" t="s">
        <v>59</v>
      </c>
      <c r="K354" s="2" t="str">
        <f>HYPERLINK("https://www.nba.com/stats/events?CFID=&amp;CFPARAMS=&amp;GameEventID=245&amp;GameID=0022301043&amp;Season=2023-24&amp;flag=1&amp;title=A.%20Coffey%2015'%20driving%20floating%20Jump%20Shot%20(2%20PTS)%20(K.%20Leonard%203%20AST)", "A. Coffey 15' driving floating Jump Shot (2 PTS) (K. Leonard 3 AST)")</f>
        <v>A. Coffey 15' driving floating Jump Shot (2 PTS) (K. Leonard 3 AST)</v>
      </c>
      <c r="L354" s="2" t="str">
        <f>HYPERLINK("https://www.nba.com/game/...-vs-...-0022301043/play-by-play?watchFullGame=true", "LAC vs IND - Q2 04:03.00")</f>
        <v>LAC vs IND - Q2 04:03.00</v>
      </c>
      <c r="M354">
        <v>15.25</v>
      </c>
      <c r="N354">
        <v>19.5</v>
      </c>
      <c r="O354">
        <v>65.69</v>
      </c>
      <c r="P354">
        <v>-78</v>
      </c>
      <c r="Q354">
        <v>131</v>
      </c>
      <c r="R354">
        <v>19</v>
      </c>
      <c r="S354">
        <v>65</v>
      </c>
      <c r="T354" t="s">
        <v>73</v>
      </c>
    </row>
    <row r="355" spans="1:20" x14ac:dyDescent="0.25">
      <c r="A355">
        <v>22200784</v>
      </c>
      <c r="B355" t="s">
        <v>10</v>
      </c>
      <c r="C355" t="s">
        <v>9</v>
      </c>
      <c r="D355">
        <v>13</v>
      </c>
      <c r="E355">
        <v>4</v>
      </c>
      <c r="F355">
        <v>9</v>
      </c>
      <c r="G355">
        <v>1</v>
      </c>
      <c r="H355" s="1">
        <v>4.2245370370370371E-3</v>
      </c>
      <c r="I355">
        <v>2022</v>
      </c>
      <c r="J355" t="s">
        <v>59</v>
      </c>
      <c r="K355" s="2" t="str">
        <f>HYPERLINK("https://www.nba.com/stats/events?CFID=&amp;CFPARAMS=&amp;GameEventID=66&amp;GameID=0022200784&amp;Season=2022-23&amp;flag=1&amp;title=M.%20Morris%20Sr.%2025'%203PT%20%20(5%20PTS)%20(K.%20Leonard%201%20AST)", "M. Morris Sr. 25' 3PT  (5 PTS) (K. Leonard 1 AST)")</f>
        <v>M. Morris Sr. 25' 3PT  (5 PTS) (K. Leonard 1 AST)</v>
      </c>
      <c r="L355" s="2" t="str">
        <f>HYPERLINK("https://www.nba.com/game/...-vs-...-0022200784/play-by-play?watchFullGame=true", "LAC vs MIL - Q1 06:05.00")</f>
        <v>LAC vs MIL - Q1 06:05.00</v>
      </c>
      <c r="M355">
        <v>25.77</v>
      </c>
      <c r="N355">
        <v>20.98</v>
      </c>
      <c r="O355">
        <v>92.65</v>
      </c>
      <c r="P355">
        <v>-213</v>
      </c>
      <c r="Q355">
        <v>145</v>
      </c>
      <c r="R355">
        <v>20</v>
      </c>
      <c r="S355">
        <v>92</v>
      </c>
      <c r="T355" t="s">
        <v>73</v>
      </c>
    </row>
    <row r="356" spans="1:20" x14ac:dyDescent="0.25">
      <c r="A356">
        <v>21900016</v>
      </c>
      <c r="B356" t="s">
        <v>10</v>
      </c>
      <c r="C356" t="s">
        <v>61</v>
      </c>
      <c r="D356">
        <v>44</v>
      </c>
      <c r="E356">
        <v>34</v>
      </c>
      <c r="F356">
        <v>10</v>
      </c>
      <c r="G356">
        <v>2</v>
      </c>
      <c r="H356" s="1">
        <v>7.013888888888889E-3</v>
      </c>
      <c r="I356">
        <v>2019</v>
      </c>
      <c r="J356" t="s">
        <v>59</v>
      </c>
      <c r="K356" s="2" t="str">
        <f>HYPERLINK("https://www.nba.com/stats/events?CFID=&amp;CFPARAMS=&amp;GameEventID=199&amp;GameID=0021900016&amp;Season=2019-20&amp;flag=1&amp;title=[LAC]%20Green%203pt%20shot:%20Made%20(3%20PTS)%20assist:%20Leonard%20(4%20AST)", "[LAC] Green 3pt shot: Made (3 PTS) assist: Leonard (4 AST)")</f>
        <v>[LAC] Green 3pt shot: Made (3 PTS) assist: Leonard (4 AST)</v>
      </c>
      <c r="L356" s="2" t="str">
        <f>HYPERLINK("https://www.nba.com/game/...-vs-...-0021900016/play-by-play?watchFullGame=true", "LAC vs GSW - Q2 10:06.00")</f>
        <v>LAC vs GSW - Q2 10:06.00</v>
      </c>
      <c r="M356">
        <v>25.86</v>
      </c>
      <c r="N356">
        <v>20.32</v>
      </c>
      <c r="O356">
        <v>92.96</v>
      </c>
      <c r="P356">
        <v>-215</v>
      </c>
      <c r="Q356">
        <v>138</v>
      </c>
      <c r="R356">
        <v>20</v>
      </c>
      <c r="S356">
        <v>92</v>
      </c>
      <c r="T356" t="s">
        <v>73</v>
      </c>
    </row>
    <row r="357" spans="1:20" x14ac:dyDescent="0.25">
      <c r="A357">
        <v>22300526</v>
      </c>
      <c r="B357" t="s">
        <v>10</v>
      </c>
      <c r="C357" t="s">
        <v>9</v>
      </c>
      <c r="D357">
        <v>58</v>
      </c>
      <c r="E357">
        <v>57</v>
      </c>
      <c r="F357">
        <v>1</v>
      </c>
      <c r="G357">
        <v>2</v>
      </c>
      <c r="H357" s="1">
        <v>3.1250000000000001E-5</v>
      </c>
      <c r="I357">
        <v>2023</v>
      </c>
      <c r="J357" t="s">
        <v>59</v>
      </c>
      <c r="K357" s="2" t="str">
        <f>HYPERLINK("https://www.nba.com/stats/events?CFID=&amp;CFPARAMS=&amp;GameEventID=293&amp;GameID=0022300526&amp;Season=2023-24&amp;flag=1&amp;title=N.%20Powell%2026'%203PT%20step%20back%20(5%20PTS)%20(K.%20Leonard%203%20AST)", "N. Powell 26' 3PT step back (5 PTS) (K. Leonard 3 AST)")</f>
        <v>N. Powell 26' 3PT step back (5 PTS) (K. Leonard 3 AST)</v>
      </c>
      <c r="L357" s="2" t="str">
        <f>HYPERLINK("https://www.nba.com/game/...-vs-...-0022300526/play-by-play?watchFullGame=true", "LAC vs TOR - Q2 00:02.70")</f>
        <v>LAC vs TOR - Q2 00:02.70</v>
      </c>
      <c r="M357">
        <v>26.27</v>
      </c>
      <c r="N357">
        <v>20.94</v>
      </c>
      <c r="O357">
        <v>93.87</v>
      </c>
      <c r="P357">
        <v>-219</v>
      </c>
      <c r="Q357">
        <v>144</v>
      </c>
      <c r="R357">
        <v>20</v>
      </c>
      <c r="S357">
        <v>93</v>
      </c>
      <c r="T357" t="s">
        <v>73</v>
      </c>
    </row>
    <row r="358" spans="1:20" x14ac:dyDescent="0.25">
      <c r="A358">
        <v>22000289</v>
      </c>
      <c r="B358" t="s">
        <v>4</v>
      </c>
      <c r="C358" t="s">
        <v>9</v>
      </c>
      <c r="D358">
        <v>90</v>
      </c>
      <c r="E358">
        <v>71</v>
      </c>
      <c r="F358">
        <v>19</v>
      </c>
      <c r="G358">
        <v>3</v>
      </c>
      <c r="H358" s="1">
        <v>0</v>
      </c>
      <c r="I358">
        <v>2020</v>
      </c>
      <c r="J358" t="s">
        <v>59</v>
      </c>
      <c r="K358" s="2" t="str">
        <f>HYPERLINK("https://www.nba.com/stats/events?CFID=&amp;CFPARAMS=&amp;GameEventID=461&amp;GameID=0022000289&amp;Season=2020-21&amp;flag=1&amp;title=R.%20Jackson%2014'%20Jump%20Shot%20(10%20PTS)%20(K.%20Leonard%203%20AST)", "R. Jackson 14' Jump Shot (10 PTS) (K. Leonard 3 AST)")</f>
        <v>R. Jackson 14' Jump Shot (10 PTS) (K. Leonard 3 AST)</v>
      </c>
      <c r="L358" s="2" t="str">
        <f>HYPERLINK("https://www.nba.com/game/...-vs-...-0022000289/play-by-play?watchFullGame=true", "LAC vs ORL - Q3 00:00.00")</f>
        <v>LAC vs ORL - Q3 00:00.00</v>
      </c>
      <c r="M358">
        <v>14.53</v>
      </c>
      <c r="N358">
        <v>20.32</v>
      </c>
      <c r="O358">
        <v>41.25</v>
      </c>
      <c r="P358">
        <v>44</v>
      </c>
      <c r="Q358">
        <v>138</v>
      </c>
      <c r="R358">
        <v>20</v>
      </c>
      <c r="S358">
        <v>41</v>
      </c>
      <c r="T358" t="s">
        <v>73</v>
      </c>
    </row>
    <row r="359" spans="1:20" x14ac:dyDescent="0.25">
      <c r="A359">
        <v>22001047</v>
      </c>
      <c r="B359" t="s">
        <v>4</v>
      </c>
      <c r="C359" t="s">
        <v>9</v>
      </c>
      <c r="D359">
        <v>43</v>
      </c>
      <c r="E359">
        <v>42</v>
      </c>
      <c r="F359">
        <v>1</v>
      </c>
      <c r="G359">
        <v>2</v>
      </c>
      <c r="H359" s="1">
        <v>1.7013888888888888E-3</v>
      </c>
      <c r="I359">
        <v>2020</v>
      </c>
      <c r="J359" t="s">
        <v>59</v>
      </c>
      <c r="K359" s="2" t="str">
        <f>HYPERLINK("https://www.nba.com/stats/events?CFID=&amp;CFPARAMS=&amp;GameEventID=264&amp;GameID=0022001047&amp;Season=2020-21&amp;flag=1&amp;title=M.%20Morris%20Sr.%2014'%20Jump%20Shot%20(10%20PTS)%20(K.%20Leonard%205%20AST)", "M. Morris Sr. 14' Jump Shot (10 PTS) (K. Leonard 5 AST)")</f>
        <v>M. Morris Sr. 14' Jump Shot (10 PTS) (K. Leonard 5 AST)</v>
      </c>
      <c r="L359" s="2" t="str">
        <f>HYPERLINK("https://www.nba.com/game/...-vs-...-0022001047/play-by-play?watchFullGame=true", "LAC vs CHA - Q2 02:27.00")</f>
        <v>LAC vs CHA - Q2 02:27.00</v>
      </c>
      <c r="M359">
        <v>14.5</v>
      </c>
      <c r="N359">
        <v>20.71</v>
      </c>
      <c r="O359">
        <v>55.71</v>
      </c>
      <c r="P359">
        <v>-29</v>
      </c>
      <c r="Q359">
        <v>142</v>
      </c>
      <c r="R359">
        <v>20</v>
      </c>
      <c r="S359">
        <v>55</v>
      </c>
      <c r="T359" t="s">
        <v>73</v>
      </c>
    </row>
    <row r="360" spans="1:20" x14ac:dyDescent="0.25">
      <c r="A360">
        <v>22000520</v>
      </c>
      <c r="B360" t="s">
        <v>4</v>
      </c>
      <c r="C360" t="s">
        <v>9</v>
      </c>
      <c r="D360">
        <v>50</v>
      </c>
      <c r="E360">
        <v>55</v>
      </c>
      <c r="F360">
        <v>5</v>
      </c>
      <c r="G360">
        <v>3</v>
      </c>
      <c r="H360" s="1">
        <v>7.1875000000000003E-3</v>
      </c>
      <c r="I360">
        <v>2020</v>
      </c>
      <c r="J360" t="s">
        <v>59</v>
      </c>
      <c r="K360" s="2" t="str">
        <f>HYPERLINK("https://www.nba.com/stats/events?CFID=&amp;CFPARAMS=&amp;GameEventID=331&amp;GameID=0022000520&amp;Season=2020-21&amp;flag=1&amp;title=N.%20Batum%2017'%20turnaround%20Jump%20Shot%20(5%20PTS)%20(K.%20Leonard%202%20AST)", "N. Batum 17' turnaround Jump Shot (5 PTS) (K. Leonard 2 AST)")</f>
        <v>N. Batum 17' turnaround Jump Shot (5 PTS) (K. Leonard 2 AST)</v>
      </c>
      <c r="L360" s="2" t="str">
        <f>HYPERLINK("https://www.nba.com/game/...-vs-...-0022000520/play-by-play?watchFullGame=true", "LAC vs MIL - Q3 10:21.00")</f>
        <v>LAC vs MIL - Q3 10:21.00</v>
      </c>
      <c r="M360">
        <v>17.23</v>
      </c>
      <c r="N360">
        <v>20.45</v>
      </c>
      <c r="O360">
        <v>70.17</v>
      </c>
      <c r="P360">
        <v>-101</v>
      </c>
      <c r="Q360">
        <v>140</v>
      </c>
      <c r="R360">
        <v>20</v>
      </c>
      <c r="S360">
        <v>70</v>
      </c>
      <c r="T360" t="s">
        <v>73</v>
      </c>
    </row>
    <row r="361" spans="1:20" x14ac:dyDescent="0.25">
      <c r="A361">
        <v>21900419</v>
      </c>
      <c r="B361" t="s">
        <v>10</v>
      </c>
      <c r="C361" t="s">
        <v>61</v>
      </c>
      <c r="D361">
        <v>104</v>
      </c>
      <c r="E361">
        <v>103</v>
      </c>
      <c r="F361">
        <v>1</v>
      </c>
      <c r="G361">
        <v>4</v>
      </c>
      <c r="H361" s="1">
        <v>4.6412037037037038E-3</v>
      </c>
      <c r="I361">
        <v>2019</v>
      </c>
      <c r="J361" t="s">
        <v>59</v>
      </c>
      <c r="K361" s="2" t="str">
        <f>HYPERLINK("https://www.nba.com/stats/events?CFID=&amp;CFPARAMS=&amp;GameEventID=582&amp;GameID=0021900419&amp;Season=2019-20&amp;flag=1&amp;title=P.%20George%2026'%203PT%20%20(27%20PTS)%20(K.%20Leonard%204%20AST)", "P. George 26' 3PT  (27 PTS) (K. Leonard 4 AST)")</f>
        <v>P. George 26' 3PT  (27 PTS) (K. Leonard 4 AST)</v>
      </c>
      <c r="L361" s="2" t="str">
        <f>HYPERLINK("https://www.nba.com/game/...-vs-...-0021900419/play-by-play?watchFullGame=true", "LAC vs HOU - Q4 06:41.00")</f>
        <v>LAC vs HOU - Q4 06:41.00</v>
      </c>
      <c r="M361">
        <v>26.27</v>
      </c>
      <c r="N361">
        <v>20.81</v>
      </c>
      <c r="O361">
        <v>93.31</v>
      </c>
      <c r="P361">
        <v>-217</v>
      </c>
      <c r="Q361">
        <v>143</v>
      </c>
      <c r="R361">
        <v>20</v>
      </c>
      <c r="S361">
        <v>93</v>
      </c>
      <c r="T361" t="s">
        <v>73</v>
      </c>
    </row>
    <row r="362" spans="1:20" x14ac:dyDescent="0.25">
      <c r="A362">
        <v>22300827</v>
      </c>
      <c r="B362" t="s">
        <v>10</v>
      </c>
      <c r="C362" t="s">
        <v>9</v>
      </c>
      <c r="D362">
        <v>60</v>
      </c>
      <c r="E362">
        <v>75</v>
      </c>
      <c r="F362">
        <v>15</v>
      </c>
      <c r="G362">
        <v>3</v>
      </c>
      <c r="H362" s="1">
        <v>5.2662037037037035E-3</v>
      </c>
      <c r="I362">
        <v>2023</v>
      </c>
      <c r="J362" t="s">
        <v>59</v>
      </c>
      <c r="K362" s="2" t="str">
        <f>HYPERLINK("https://www.nba.com/stats/events?CFID=&amp;CFPARAMS=&amp;GameEventID=379&amp;GameID=0022300827&amp;Season=2023-24&amp;flag=1&amp;title=J.%20Harden%2025'%203PT%20%20(13%20PTS)%20(K.%20Leonard%201%20AST)", "J. Harden 25' 3PT  (13 PTS) (K. Leonard 1 AST)")</f>
        <v>J. Harden 25' 3PT  (13 PTS) (K. Leonard 1 AST)</v>
      </c>
      <c r="L362" s="2" t="str">
        <f>HYPERLINK("https://www.nba.com/game/...-vs-...-0022300827/play-by-play?watchFullGame=true", "LAC vs SAC - Q3 07:35.00")</f>
        <v>LAC vs SAC - Q3 07:35.00</v>
      </c>
      <c r="M362">
        <v>25.54</v>
      </c>
      <c r="N362">
        <v>20.55</v>
      </c>
      <c r="O362">
        <v>7.35</v>
      </c>
      <c r="P362">
        <v>213</v>
      </c>
      <c r="Q362">
        <v>141</v>
      </c>
      <c r="R362">
        <v>20</v>
      </c>
      <c r="S362">
        <v>7</v>
      </c>
      <c r="T362" t="s">
        <v>73</v>
      </c>
    </row>
    <row r="363" spans="1:20" x14ac:dyDescent="0.25">
      <c r="A363">
        <v>41900233</v>
      </c>
      <c r="B363" t="s">
        <v>10</v>
      </c>
      <c r="C363" t="s">
        <v>61</v>
      </c>
      <c r="D363">
        <v>12</v>
      </c>
      <c r="E363">
        <v>12</v>
      </c>
      <c r="F363">
        <v>0</v>
      </c>
      <c r="G363">
        <v>1</v>
      </c>
      <c r="H363" s="1">
        <v>5.185185185185185E-3</v>
      </c>
      <c r="I363" t="s">
        <v>62</v>
      </c>
      <c r="J363" t="s">
        <v>59</v>
      </c>
      <c r="K363" s="2" t="str">
        <f>HYPERLINK("https://www.nba.com/stats/events?CFID=&amp;CFPARAMS=&amp;GameEventID=48&amp;GameID=0041900233&amp;Season=2019-20&amp;flag=1&amp;title=J.%20Green%2026'%203PT%20%20(3%20PTS)%20(K.%20Leonard%203%20AST)", "J. Green 26' 3PT  (3 PTS) (K. Leonard 3 AST)")</f>
        <v>J. Green 26' 3PT  (3 PTS) (K. Leonard 3 AST)</v>
      </c>
      <c r="L363" s="2" t="str">
        <f>HYPERLINK("https://www.nba.com/game/...-vs-...-0041900233/play-by-play?watchFullGame=true", "LAC vs DEN - Q1 07:28.00")</f>
        <v>LAC vs DEN - Q1 07:28.00</v>
      </c>
      <c r="M363">
        <v>25.84</v>
      </c>
      <c r="N363">
        <v>20.190000000000001</v>
      </c>
      <c r="O363">
        <v>6.93</v>
      </c>
      <c r="P363">
        <v>215</v>
      </c>
      <c r="Q363">
        <v>137</v>
      </c>
      <c r="R363">
        <v>20</v>
      </c>
      <c r="S363">
        <v>6</v>
      </c>
      <c r="T363" t="s">
        <v>73</v>
      </c>
    </row>
    <row r="364" spans="1:20" x14ac:dyDescent="0.25">
      <c r="A364">
        <v>22000717</v>
      </c>
      <c r="B364" t="s">
        <v>4</v>
      </c>
      <c r="C364" t="s">
        <v>9</v>
      </c>
      <c r="D364">
        <v>8</v>
      </c>
      <c r="E364">
        <v>7</v>
      </c>
      <c r="F364">
        <v>1</v>
      </c>
      <c r="G364">
        <v>1</v>
      </c>
      <c r="H364" s="1">
        <v>6.7361111111111111E-3</v>
      </c>
      <c r="I364">
        <v>2020</v>
      </c>
      <c r="J364" t="s">
        <v>59</v>
      </c>
      <c r="K364" s="2" t="str">
        <f>HYPERLINK("https://www.nba.com/stats/events?CFID=&amp;CFPARAMS=&amp;GameEventID=24&amp;GameID=0022000717&amp;Season=2020-21&amp;flag=1&amp;title=L.%20Kennard%2018'%20pullup%20Jump%20Shot%20(4%20PTS)%20(K.%20Leonard%201%20AST)", "L. Kennard 18' pullup Jump Shot (4 PTS) (K. Leonard 1 AST)")</f>
        <v>L. Kennard 18' pullup Jump Shot (4 PTS) (K. Leonard 1 AST)</v>
      </c>
      <c r="L364" s="2" t="str">
        <f>HYPERLINK("https://www.nba.com/game/...-vs-...-0022000717/play-by-play?watchFullGame=true", "LAC vs MIL - Q1 09:42.00")</f>
        <v>LAC vs MIL - Q1 09:42.00</v>
      </c>
      <c r="M364">
        <v>18.22</v>
      </c>
      <c r="N364">
        <v>20.84</v>
      </c>
      <c r="O364">
        <v>27.52</v>
      </c>
      <c r="P364">
        <v>112</v>
      </c>
      <c r="Q364">
        <v>143</v>
      </c>
      <c r="R364">
        <v>20</v>
      </c>
      <c r="S364">
        <v>27</v>
      </c>
      <c r="T364" t="s">
        <v>73</v>
      </c>
    </row>
    <row r="365" spans="1:20" x14ac:dyDescent="0.25">
      <c r="A365">
        <v>22200932</v>
      </c>
      <c r="B365" t="s">
        <v>10</v>
      </c>
      <c r="C365" t="s">
        <v>9</v>
      </c>
      <c r="D365">
        <v>61</v>
      </c>
      <c r="E365">
        <v>63</v>
      </c>
      <c r="F365">
        <v>2</v>
      </c>
      <c r="G365">
        <v>3</v>
      </c>
      <c r="H365" s="1">
        <v>7.5925925925925926E-3</v>
      </c>
      <c r="I365">
        <v>2022</v>
      </c>
      <c r="J365" t="s">
        <v>59</v>
      </c>
      <c r="K365" s="2" t="str">
        <f>HYPERLINK("https://www.nba.com/stats/events?CFID=&amp;CFPARAMS=&amp;GameEventID=363&amp;GameID=0022200932&amp;Season=2022-23&amp;flag=1&amp;title=P.%20George%2025'%203PT%20%20(18%20PTS)%20(K.%20Leonard%205%20AST)", "P. George 25' 3PT  (18 PTS) (K. Leonard 5 AST)")</f>
        <v>P. George 25' 3PT  (18 PTS) (K. Leonard 5 AST)</v>
      </c>
      <c r="L365" s="2" t="str">
        <f>HYPERLINK("https://www.nba.com/game/...-vs-...-0022200932/play-by-play?watchFullGame=true", "LAC vs MIN - Q3 10:56.00")</f>
        <v>LAC vs MIN - Q3 10:56.00</v>
      </c>
      <c r="M365">
        <v>25.17</v>
      </c>
      <c r="N365">
        <v>20.81</v>
      </c>
      <c r="O365">
        <v>91.42</v>
      </c>
      <c r="P365">
        <v>-207</v>
      </c>
      <c r="Q365">
        <v>143</v>
      </c>
      <c r="R365">
        <v>20</v>
      </c>
      <c r="S365">
        <v>91</v>
      </c>
      <c r="T365" t="s">
        <v>73</v>
      </c>
    </row>
    <row r="366" spans="1:20" x14ac:dyDescent="0.25">
      <c r="A366">
        <v>22300618</v>
      </c>
      <c r="B366" t="s">
        <v>10</v>
      </c>
      <c r="C366" t="s">
        <v>9</v>
      </c>
      <c r="D366">
        <v>98</v>
      </c>
      <c r="E366">
        <v>90</v>
      </c>
      <c r="F366">
        <v>8</v>
      </c>
      <c r="G366">
        <v>3</v>
      </c>
      <c r="H366" s="1">
        <v>2.5000000000000001E-3</v>
      </c>
      <c r="I366">
        <v>2023</v>
      </c>
      <c r="J366" t="s">
        <v>59</v>
      </c>
      <c r="K366" s="2" t="str">
        <f>HYPERLINK("https://www.nba.com/stats/events?CFID=&amp;CFPARAMS=&amp;GameEventID=407&amp;GameID=0022300618&amp;Season=2023-24&amp;flag=1&amp;title=R.%20Westbrook%2026'%203PT%20%20(11%20PTS)%20(K.%20Leonard%205%20AST)", "R. Westbrook 26' 3PT  (11 PTS) (K. Leonard 5 AST)")</f>
        <v>R. Westbrook 26' 3PT  (11 PTS) (K. Leonard 5 AST)</v>
      </c>
      <c r="L366" s="2" t="str">
        <f>HYPERLINK("https://www.nba.com/game/...-vs-...-0022300618/play-by-play?watchFullGame=true", "LAC vs LAL - Q3 03:36.00")</f>
        <v>LAC vs LAL - Q3 03:36.00</v>
      </c>
      <c r="M366">
        <v>26.39</v>
      </c>
      <c r="N366">
        <v>20.149999999999999</v>
      </c>
      <c r="O366">
        <v>4.9000000000000004</v>
      </c>
      <c r="P366">
        <v>225</v>
      </c>
      <c r="Q366">
        <v>137</v>
      </c>
      <c r="R366">
        <v>20</v>
      </c>
      <c r="S366">
        <v>4</v>
      </c>
      <c r="T366" t="s">
        <v>73</v>
      </c>
    </row>
    <row r="367" spans="1:20" x14ac:dyDescent="0.25">
      <c r="A367">
        <v>22000251</v>
      </c>
      <c r="B367" t="s">
        <v>10</v>
      </c>
      <c r="C367" t="s">
        <v>9</v>
      </c>
      <c r="D367">
        <v>71</v>
      </c>
      <c r="E367">
        <v>61</v>
      </c>
      <c r="F367">
        <v>10</v>
      </c>
      <c r="G367">
        <v>3</v>
      </c>
      <c r="H367" s="1">
        <v>4.6064814814814814E-3</v>
      </c>
      <c r="I367">
        <v>2020</v>
      </c>
      <c r="J367" t="s">
        <v>59</v>
      </c>
      <c r="K367" s="2" t="str">
        <f>HYPERLINK("https://www.nba.com/stats/events?CFID=&amp;CFPARAMS=&amp;GameEventID=367&amp;GameID=0022000251&amp;Season=2020-21&amp;flag=1&amp;title=R.%20Jackson%2025'%203PT%20%20(8%20PTS)%20(K.%20Leonard%206%20AST)", "R. Jackson 25' 3PT  (8 PTS) (K. Leonard 6 AST)")</f>
        <v>R. Jackson 25' 3PT  (8 PTS) (K. Leonard 6 AST)</v>
      </c>
      <c r="L367" s="2" t="str">
        <f>HYPERLINK("https://www.nba.com/game/...-vs-...-0022000251/play-by-play?watchFullGame=true", "LAC vs OKC - Q3 06:38.00")</f>
        <v>LAC vs OKC - Q3 06:38.00</v>
      </c>
      <c r="M367">
        <v>25.36</v>
      </c>
      <c r="N367">
        <v>20.89</v>
      </c>
      <c r="O367">
        <v>91.76</v>
      </c>
      <c r="P367">
        <v>-209</v>
      </c>
      <c r="Q367">
        <v>144</v>
      </c>
      <c r="R367">
        <v>20</v>
      </c>
      <c r="S367">
        <v>91</v>
      </c>
      <c r="T367" t="s">
        <v>73</v>
      </c>
    </row>
    <row r="368" spans="1:20" x14ac:dyDescent="0.25">
      <c r="A368">
        <v>42000221</v>
      </c>
      <c r="B368" t="s">
        <v>10</v>
      </c>
      <c r="C368" t="s">
        <v>9</v>
      </c>
      <c r="D368">
        <v>5</v>
      </c>
      <c r="E368">
        <v>10</v>
      </c>
      <c r="F368">
        <v>5</v>
      </c>
      <c r="G368">
        <v>1</v>
      </c>
      <c r="H368" s="1">
        <v>6.2847222222222219E-3</v>
      </c>
      <c r="I368" t="s">
        <v>71</v>
      </c>
      <c r="J368" t="s">
        <v>59</v>
      </c>
      <c r="K368" s="2" t="str">
        <f>HYPERLINK("https://www.nba.com/stats/events?CFID=&amp;CFPARAMS=&amp;GameEventID=30&amp;GameID=0042000221&amp;Season=2020-21&amp;flag=1&amp;title=R.%20Jackson%2024'%203PT%20%20(3%20PTS)%20(K.%20Leonard%201%20AST)", "R. Jackson 24' 3PT  (3 PTS) (K. Leonard 1 AST)")</f>
        <v>R. Jackson 24' 3PT  (3 PTS) (K. Leonard 1 AST)</v>
      </c>
      <c r="L368" s="2" t="str">
        <f>HYPERLINK("https://www.nba.com/game/...-vs-...-0042000221/play-by-play?watchFullGame=true", "LAC vs UTA - Q1 09:03.00")</f>
        <v>LAC vs UTA - Q1 09:03.00</v>
      </c>
      <c r="M368">
        <v>24.72</v>
      </c>
      <c r="N368">
        <v>20.58</v>
      </c>
      <c r="O368">
        <v>9.3800000000000008</v>
      </c>
      <c r="P368">
        <v>20</v>
      </c>
      <c r="Q368">
        <v>9</v>
      </c>
      <c r="R368">
        <v>20</v>
      </c>
      <c r="S368">
        <v>9</v>
      </c>
      <c r="T368" t="s">
        <v>73</v>
      </c>
    </row>
    <row r="369" spans="1:20" x14ac:dyDescent="0.25">
      <c r="A369">
        <v>21900589</v>
      </c>
      <c r="B369" t="s">
        <v>10</v>
      </c>
      <c r="C369" t="s">
        <v>61</v>
      </c>
      <c r="D369">
        <v>12</v>
      </c>
      <c r="E369">
        <v>8</v>
      </c>
      <c r="F369">
        <v>4</v>
      </c>
      <c r="G369">
        <v>1</v>
      </c>
      <c r="H369" s="1">
        <v>5.4166666666666669E-3</v>
      </c>
      <c r="I369">
        <v>2019</v>
      </c>
      <c r="J369" t="s">
        <v>59</v>
      </c>
      <c r="K369" s="2" t="str">
        <f>HYPERLINK("https://www.nba.com/stats/events?CFID=&amp;CFPARAMS=&amp;GameEventID=45&amp;GameID=0021900589&amp;Season=2019-20&amp;flag=1&amp;title=P.%20Beverley%2025'%203PT%20%20(3%20PTS)%20(K.%20Leonard%202%20AST)", "P. Beverley 25' 3PT  (3 PTS) (K. Leonard 2 AST)")</f>
        <v>P. Beverley 25' 3PT  (3 PTS) (K. Leonard 2 AST)</v>
      </c>
      <c r="L369" s="2" t="str">
        <f>HYPERLINK("https://www.nba.com/game/...-vs-...-0021900589/play-by-play?watchFullGame=true", "LAC vs DEN - Q1 07:48.00")</f>
        <v>LAC vs DEN - Q1 07:48.00</v>
      </c>
      <c r="M369">
        <v>25.02</v>
      </c>
      <c r="N369">
        <v>20.98</v>
      </c>
      <c r="O369">
        <v>90.02</v>
      </c>
      <c r="P369">
        <v>-200</v>
      </c>
      <c r="Q369">
        <v>145</v>
      </c>
      <c r="R369">
        <v>20</v>
      </c>
      <c r="S369">
        <v>90</v>
      </c>
      <c r="T369" t="s">
        <v>73</v>
      </c>
    </row>
    <row r="370" spans="1:20" x14ac:dyDescent="0.25">
      <c r="A370">
        <v>22001034</v>
      </c>
      <c r="B370" t="s">
        <v>4</v>
      </c>
      <c r="C370" t="s">
        <v>9</v>
      </c>
      <c r="D370">
        <v>5</v>
      </c>
      <c r="E370">
        <v>2</v>
      </c>
      <c r="F370">
        <v>3</v>
      </c>
      <c r="G370">
        <v>1</v>
      </c>
      <c r="H370" s="1">
        <v>7.0023148148148145E-3</v>
      </c>
      <c r="I370">
        <v>2020</v>
      </c>
      <c r="J370" t="s">
        <v>59</v>
      </c>
      <c r="K370" s="2" t="str">
        <f>HYPERLINK("https://www.nba.com/stats/events?CFID=&amp;CFPARAMS=&amp;GameEventID=21&amp;GameID=0022001034&amp;Season=2020-21&amp;flag=1&amp;title=M.%20Morris%20Sr.%2016'%20pullup%20Jump%20Shot%20(5%20PTS)%20(K.%20Leonard%201%20AST)", "M. Morris Sr. 16' pullup Jump Shot (5 PTS) (K. Leonard 1 AST)")</f>
        <v>M. Morris Sr. 16' pullup Jump Shot (5 PTS) (K. Leonard 1 AST)</v>
      </c>
      <c r="L370" s="2" t="str">
        <f>HYPERLINK("https://www.nba.com/game/...-vs-...-0022001034/play-by-play?watchFullGame=true", "LAC vs TOR - Q1 10:05.00")</f>
        <v>LAC vs TOR - Q1 10:05.00</v>
      </c>
      <c r="M370">
        <v>16.27</v>
      </c>
      <c r="N370">
        <v>20.98</v>
      </c>
      <c r="O370">
        <v>35.119999999999997</v>
      </c>
      <c r="P370">
        <v>74</v>
      </c>
      <c r="Q370">
        <v>145</v>
      </c>
      <c r="R370">
        <v>20</v>
      </c>
      <c r="S370">
        <v>35</v>
      </c>
      <c r="T370" t="s">
        <v>73</v>
      </c>
    </row>
    <row r="371" spans="1:20" x14ac:dyDescent="0.25">
      <c r="A371">
        <v>22000867</v>
      </c>
      <c r="B371" t="s">
        <v>10</v>
      </c>
      <c r="C371" t="s">
        <v>9</v>
      </c>
      <c r="D371">
        <v>77</v>
      </c>
      <c r="E371">
        <v>56</v>
      </c>
      <c r="F371">
        <v>21</v>
      </c>
      <c r="G371">
        <v>3</v>
      </c>
      <c r="H371" s="1">
        <v>7.5694444444444446E-3</v>
      </c>
      <c r="I371">
        <v>2020</v>
      </c>
      <c r="J371" t="s">
        <v>59</v>
      </c>
      <c r="K371" s="2" t="str">
        <f>HYPERLINK("https://www.nba.com/stats/events?CFID=&amp;CFPARAMS=&amp;GameEventID=353&amp;GameID=0022000867&amp;Season=2020-21&amp;flag=1&amp;title=R.%20Jackson%2025'%203PT%20%20(13%20PTS)%20(K.%20Leonard%205%20AST)", "R. Jackson 25' 3PT  (13 PTS) (K. Leonard 5 AST)")</f>
        <v>R. Jackson 25' 3PT  (13 PTS) (K. Leonard 5 AST)</v>
      </c>
      <c r="L371" s="2" t="str">
        <f>HYPERLINK("https://www.nba.com/game/...-vs-...-0022000867/play-by-play?watchFullGame=true", "LAC vs MIN - Q3 10:54.00")</f>
        <v>LAC vs MIN - Q3 10:54.00</v>
      </c>
      <c r="M371">
        <v>25.87</v>
      </c>
      <c r="N371">
        <v>21.11</v>
      </c>
      <c r="O371">
        <v>92.72</v>
      </c>
      <c r="P371">
        <v>-214</v>
      </c>
      <c r="Q371">
        <v>146</v>
      </c>
      <c r="R371">
        <v>21</v>
      </c>
      <c r="S371">
        <v>92</v>
      </c>
      <c r="T371" t="s">
        <v>73</v>
      </c>
    </row>
    <row r="372" spans="1:20" x14ac:dyDescent="0.25">
      <c r="A372">
        <v>22001019</v>
      </c>
      <c r="B372" t="s">
        <v>4</v>
      </c>
      <c r="C372" t="s">
        <v>9</v>
      </c>
      <c r="D372">
        <v>69</v>
      </c>
      <c r="E372">
        <v>72</v>
      </c>
      <c r="F372">
        <v>3</v>
      </c>
      <c r="G372">
        <v>3</v>
      </c>
      <c r="H372" s="1">
        <v>3.3217592592592591E-3</v>
      </c>
      <c r="I372">
        <v>2020</v>
      </c>
      <c r="J372" t="s">
        <v>59</v>
      </c>
      <c r="K372" s="2" t="str">
        <f>HYPERLINK("https://www.nba.com/stats/events?CFID=&amp;CFPARAMS=&amp;GameEventID=374&amp;GameID=0022001019&amp;Season=2020-21&amp;flag=1&amp;title=M.%20Morris%20Sr.%2016'%20pullup%20Jump%20Shot%20(7%20PTS)%20(K.%20Leonard%203%20AST)", "M. Morris Sr. 16' pullup Jump Shot (7 PTS) (K. Leonard 3 AST)")</f>
        <v>M. Morris Sr. 16' pullup Jump Shot (7 PTS) (K. Leonard 3 AST)</v>
      </c>
      <c r="L372" s="2" t="str">
        <f>HYPERLINK("https://www.nba.com/game/...-vs-...-0022001019/play-by-play?watchFullGame=true", "LAC vs NYK - Q3 04:47.00")</f>
        <v>LAC vs NYK - Q3 04:47.00</v>
      </c>
      <c r="M372">
        <v>16.02</v>
      </c>
      <c r="N372">
        <v>21.24</v>
      </c>
      <c r="O372">
        <v>37.32</v>
      </c>
      <c r="P372">
        <v>63</v>
      </c>
      <c r="Q372">
        <v>147</v>
      </c>
      <c r="R372">
        <v>21</v>
      </c>
      <c r="S372">
        <v>37</v>
      </c>
      <c r="T372" t="s">
        <v>73</v>
      </c>
    </row>
    <row r="373" spans="1:20" x14ac:dyDescent="0.25">
      <c r="A373">
        <v>22400793</v>
      </c>
      <c r="B373" t="s">
        <v>4</v>
      </c>
      <c r="C373" t="s">
        <v>9</v>
      </c>
      <c r="D373">
        <v>6</v>
      </c>
      <c r="E373">
        <v>3</v>
      </c>
      <c r="F373">
        <v>3</v>
      </c>
      <c r="G373">
        <v>1</v>
      </c>
      <c r="H373" s="1">
        <v>6.7013888888888887E-3</v>
      </c>
      <c r="I373">
        <v>2024</v>
      </c>
      <c r="J373" t="s">
        <v>59</v>
      </c>
      <c r="K373" s="2" t="str">
        <f>HYPERLINK("https://www.nba.com/stats/events?CFID=&amp;CFPARAMS=&amp;GameEventID=28&amp;GameID=0022400793&amp;Season=2024-25&amp;flag=1&amp;title=I.%20Zubac%2015'%20driving%20floating%20Jump%20Shot%20(4%20PTS)%20(K.%20Leonard%202%20AST)", "I. Zubac 15' driving floating Jump Shot (4 PTS) (K. Leonard 2 AST)")</f>
        <v>I. Zubac 15' driving floating Jump Shot (4 PTS) (K. Leonard 2 AST)</v>
      </c>
      <c r="L373" s="2" t="str">
        <f>HYPERLINK("https://www.nba.com/game/...-vs-...-0022400793/play-by-play?watchFullGame=true", "LAC vs MIL - Q1 09:39.00")</f>
        <v>LAC vs MIL - Q1 09:39.00</v>
      </c>
      <c r="M373">
        <v>15.12</v>
      </c>
      <c r="N373">
        <v>21.5</v>
      </c>
      <c r="O373">
        <v>45.59</v>
      </c>
      <c r="P373">
        <v>22</v>
      </c>
      <c r="Q373">
        <v>150</v>
      </c>
      <c r="R373">
        <v>21</v>
      </c>
      <c r="S373">
        <v>45</v>
      </c>
      <c r="T373" t="s">
        <v>73</v>
      </c>
    </row>
    <row r="374" spans="1:20" x14ac:dyDescent="0.25">
      <c r="A374">
        <v>22000061</v>
      </c>
      <c r="B374" t="s">
        <v>4</v>
      </c>
      <c r="C374" t="s">
        <v>9</v>
      </c>
      <c r="D374">
        <v>69</v>
      </c>
      <c r="E374">
        <v>51</v>
      </c>
      <c r="F374">
        <v>18</v>
      </c>
      <c r="G374">
        <v>2</v>
      </c>
      <c r="H374" s="1">
        <v>1.3888888888888889E-3</v>
      </c>
      <c r="I374">
        <v>2020</v>
      </c>
      <c r="J374" t="s">
        <v>59</v>
      </c>
      <c r="K374" s="2" t="str">
        <f>HYPERLINK("https://www.nba.com/stats/events?CFID=&amp;CFPARAMS=&amp;GameEventID=293&amp;GameID=0022000061&amp;Season=2020-21&amp;flag=1&amp;title=L.%20Williams%2015'%20bank%20Jump%20Shot%20(10%20PTS)%20(K.%20Leonard%206%20AST)", "L. Williams 15' bank Jump Shot (10 PTS) (K. Leonard 6 AST)")</f>
        <v>L. Williams 15' bank Jump Shot (10 PTS) (K. Leonard 6 AST)</v>
      </c>
      <c r="L374" s="2" t="str">
        <f>HYPERLINK("https://www.nba.com/game/...-vs-...-0022000061/play-by-play?watchFullGame=true", "LAC vs POR - Q2 02:00.00")</f>
        <v>LAC vs POR - Q2 02:00.00</v>
      </c>
      <c r="M374">
        <v>15.69</v>
      </c>
      <c r="N374">
        <v>21.5</v>
      </c>
      <c r="O374">
        <v>40.51</v>
      </c>
      <c r="P374">
        <v>47</v>
      </c>
      <c r="Q374">
        <v>150</v>
      </c>
      <c r="R374">
        <v>21</v>
      </c>
      <c r="S374">
        <v>40</v>
      </c>
      <c r="T374" t="s">
        <v>73</v>
      </c>
    </row>
    <row r="375" spans="1:20" x14ac:dyDescent="0.25">
      <c r="A375">
        <v>22000061</v>
      </c>
      <c r="B375" t="s">
        <v>10</v>
      </c>
      <c r="C375" t="s">
        <v>9</v>
      </c>
      <c r="D375">
        <v>3</v>
      </c>
      <c r="E375">
        <v>3</v>
      </c>
      <c r="F375">
        <v>0</v>
      </c>
      <c r="G375">
        <v>1</v>
      </c>
      <c r="H375" s="1">
        <v>7.8356481481481489E-3</v>
      </c>
      <c r="I375">
        <v>2020</v>
      </c>
      <c r="J375" t="s">
        <v>59</v>
      </c>
      <c r="K375" s="2" t="str">
        <f>HYPERLINK("https://www.nba.com/stats/events?CFID=&amp;CFPARAMS=&amp;GameEventID=11&amp;GameID=0022000061&amp;Season=2020-21&amp;flag=1&amp;title=Ibaka%2025'%203PT%20%20(3%20PTS)%20(K.%20Leonard%201%20AST)", "S. Ibaka 25' 3PT  (3 PTS) (K. Leonard 1 AST)")</f>
        <v>S. Ibaka 25' 3PT  (3 PTS) (K. Leonard 1 AST)</v>
      </c>
      <c r="L375" s="2" t="str">
        <f>HYPERLINK("https://www.nba.com/game/...-vs-...-0022000061/play-by-play?watchFullGame=true", "LAC vs POR - Q1 11:17.00")</f>
        <v>LAC vs POR - Q1 11:17.00</v>
      </c>
      <c r="M375">
        <v>25.1</v>
      </c>
      <c r="N375">
        <v>21.63</v>
      </c>
      <c r="O375">
        <v>9.8699999999999992</v>
      </c>
      <c r="P375">
        <v>201</v>
      </c>
      <c r="Q375">
        <v>151</v>
      </c>
      <c r="R375">
        <v>21</v>
      </c>
      <c r="S375">
        <v>9</v>
      </c>
      <c r="T375" t="s">
        <v>73</v>
      </c>
    </row>
    <row r="376" spans="1:20" x14ac:dyDescent="0.25">
      <c r="A376">
        <v>42300172</v>
      </c>
      <c r="B376" t="s">
        <v>10</v>
      </c>
      <c r="C376" t="s">
        <v>9</v>
      </c>
      <c r="D376">
        <v>48</v>
      </c>
      <c r="E376">
        <v>50</v>
      </c>
      <c r="F376">
        <v>2</v>
      </c>
      <c r="G376">
        <v>3</v>
      </c>
      <c r="H376" s="1">
        <v>5.9143518518518521E-3</v>
      </c>
      <c r="I376" t="s">
        <v>72</v>
      </c>
      <c r="J376" t="s">
        <v>59</v>
      </c>
      <c r="K376" s="2" t="str">
        <f>HYPERLINK("https://www.nba.com/stats/events?CFID=&amp;CFPARAMS=&amp;GameEventID=383&amp;GameID=0042300172&amp;Season=2023-24&amp;flag=1&amp;title=J.%20Harden%2024'%203PT%20running%20(15%20PTS)%20(K.%20Leonard%202%20AST)", "J. Harden 24' 3PT running (15 PTS) (K. Leonard 2 AST)")</f>
        <v>J. Harden 24' 3PT running (15 PTS) (K. Leonard 2 AST)</v>
      </c>
      <c r="L376" s="2" t="str">
        <f>HYPERLINK("https://www.nba.com/game/...-vs-...-0042300172/play-by-play?watchFullGame=true", "LAC vs DAL - Q3 08:31.00")</f>
        <v>LAC vs DAL - Q3 08:31.00</v>
      </c>
      <c r="M376">
        <v>24.97</v>
      </c>
      <c r="N376">
        <v>21.86</v>
      </c>
      <c r="O376">
        <v>10.54</v>
      </c>
      <c r="P376">
        <v>21</v>
      </c>
      <c r="Q376">
        <v>10</v>
      </c>
      <c r="R376">
        <v>21</v>
      </c>
      <c r="S376">
        <v>10</v>
      </c>
      <c r="T376" t="s">
        <v>73</v>
      </c>
    </row>
    <row r="377" spans="1:20" x14ac:dyDescent="0.25">
      <c r="A377">
        <v>41900151</v>
      </c>
      <c r="B377" t="s">
        <v>10</v>
      </c>
      <c r="C377" t="s">
        <v>61</v>
      </c>
      <c r="D377">
        <v>109</v>
      </c>
      <c r="E377">
        <v>102</v>
      </c>
      <c r="F377">
        <v>7</v>
      </c>
      <c r="G377">
        <v>4</v>
      </c>
      <c r="H377" s="1">
        <v>1.3657407407407407E-3</v>
      </c>
      <c r="I377" t="s">
        <v>68</v>
      </c>
      <c r="J377" t="s">
        <v>59</v>
      </c>
      <c r="K377" s="2" t="str">
        <f>HYPERLINK("https://www.nba.com/stats/events?CFID=&amp;CFPARAMS=&amp;GameEventID=649&amp;GameID=0041900151&amp;Season=2019-20&amp;flag=1&amp;title=M.%20Morris%20Sr.%2026'%203PT%20%20(19%20PTS)%20(K.%20Leonard%206%20AST)", "M. Morris Sr. 26' 3PT  (19 PTS) (K. Leonard 6 AST)")</f>
        <v>M. Morris Sr. 26' 3PT  (19 PTS) (K. Leonard 6 AST)</v>
      </c>
      <c r="L377" s="2" t="str">
        <f>HYPERLINK("https://www.nba.com/game/...-vs-...-0041900151/play-by-play?watchFullGame=true", "LAC vs DAL - Q4 01:58.00")</f>
        <v>LAC vs DAL - Q4 01:58.00</v>
      </c>
      <c r="M377">
        <v>25.96</v>
      </c>
      <c r="N377">
        <v>22.68</v>
      </c>
      <c r="O377">
        <v>10.119999999999999</v>
      </c>
      <c r="P377">
        <v>199</v>
      </c>
      <c r="Q377">
        <v>161</v>
      </c>
      <c r="R377">
        <v>22</v>
      </c>
      <c r="S377">
        <v>10</v>
      </c>
      <c r="T377" t="s">
        <v>73</v>
      </c>
    </row>
    <row r="378" spans="1:20" x14ac:dyDescent="0.25">
      <c r="A378">
        <v>42000175</v>
      </c>
      <c r="B378" t="s">
        <v>10</v>
      </c>
      <c r="C378" t="s">
        <v>9</v>
      </c>
      <c r="D378">
        <v>59</v>
      </c>
      <c r="E378">
        <v>59</v>
      </c>
      <c r="F378">
        <v>0</v>
      </c>
      <c r="G378">
        <v>3</v>
      </c>
      <c r="H378" s="1">
        <v>7.4074074074074077E-3</v>
      </c>
      <c r="I378" t="s">
        <v>66</v>
      </c>
      <c r="J378" t="s">
        <v>59</v>
      </c>
      <c r="K378" s="2" t="str">
        <f>HYPERLINK("https://www.nba.com/stats/events?CFID=&amp;CFPARAMS=&amp;GameEventID=352&amp;GameID=0042000175&amp;Season=2020-21&amp;flag=1&amp;title=R.%20Jackson%2027'%203PT%20%20(8%20PTS)%20(K.%20Leonard%204%20AST)", "R. Jackson 27' 3PT  (8 PTS) (K. Leonard 4 AST)")</f>
        <v>R. Jackson 27' 3PT  (8 PTS) (K. Leonard 4 AST)</v>
      </c>
      <c r="L378" s="2" t="str">
        <f>HYPERLINK("https://www.nba.com/game/...-vs-...-0042000175/play-by-play?watchFullGame=true", "LAC vs DAL - Q3 10:40.00")</f>
        <v>LAC vs DAL - Q3 10:40.00</v>
      </c>
      <c r="M378">
        <v>27.61</v>
      </c>
      <c r="N378">
        <v>22.03</v>
      </c>
      <c r="O378">
        <v>4.24</v>
      </c>
      <c r="P378">
        <v>22</v>
      </c>
      <c r="Q378">
        <v>4</v>
      </c>
      <c r="R378">
        <v>22</v>
      </c>
      <c r="S378">
        <v>4</v>
      </c>
      <c r="T378" t="s">
        <v>73</v>
      </c>
    </row>
    <row r="379" spans="1:20" x14ac:dyDescent="0.25">
      <c r="A379">
        <v>22400783</v>
      </c>
      <c r="B379" t="s">
        <v>4</v>
      </c>
      <c r="C379" t="s">
        <v>9</v>
      </c>
      <c r="D379">
        <v>41</v>
      </c>
      <c r="E379">
        <v>50</v>
      </c>
      <c r="F379">
        <v>9</v>
      </c>
      <c r="G379">
        <v>2</v>
      </c>
      <c r="H379" s="1">
        <v>5.162037037037037E-3</v>
      </c>
      <c r="I379">
        <v>2024</v>
      </c>
      <c r="J379" t="s">
        <v>59</v>
      </c>
      <c r="K379" s="2" t="str">
        <f>HYPERLINK("https://www.nba.com/stats/events?CFID=&amp;CFPARAMS=&amp;GameEventID=231&amp;GameID=0022400783&amp;Season=2024-25&amp;flag=1&amp;title=D.%20Jones%20Jr.%2018'%20pullup%20Jump%20Shot%20(4%20PTS)%20(K.%20Leonard%201%20AST)", "D. Jones Jr. 18' pullup Jump Shot (4 PTS) (K. Leonard 1 AST)")</f>
        <v>D. Jones Jr. 18' pullup Jump Shot (4 PTS) (K. Leonard 1 AST)</v>
      </c>
      <c r="L379" s="2" t="str">
        <f>HYPERLINK("https://www.nba.com/game/...-vs-...-0022400783/play-by-play?watchFullGame=true", "LAC vs MEM - Q2 07:26.00")</f>
        <v>LAC vs MEM - Q2 07:26.00</v>
      </c>
      <c r="M379">
        <v>18.32</v>
      </c>
      <c r="N379">
        <v>22.73</v>
      </c>
      <c r="O379">
        <v>32.58</v>
      </c>
      <c r="P379">
        <v>87</v>
      </c>
      <c r="Q379">
        <v>161</v>
      </c>
      <c r="R379">
        <v>22</v>
      </c>
      <c r="S379">
        <v>32</v>
      </c>
      <c r="T379" t="s">
        <v>73</v>
      </c>
    </row>
    <row r="380" spans="1:20" x14ac:dyDescent="0.25">
      <c r="A380">
        <v>22000188</v>
      </c>
      <c r="B380" t="s">
        <v>4</v>
      </c>
      <c r="C380" t="s">
        <v>9</v>
      </c>
      <c r="D380">
        <v>71</v>
      </c>
      <c r="E380">
        <v>61</v>
      </c>
      <c r="F380">
        <v>10</v>
      </c>
      <c r="G380">
        <v>3</v>
      </c>
      <c r="H380" s="1">
        <v>8.1597222222222227E-3</v>
      </c>
      <c r="I380">
        <v>2020</v>
      </c>
      <c r="J380" t="s">
        <v>59</v>
      </c>
      <c r="K380" s="2" t="str">
        <f>HYPERLINK("https://www.nba.com/stats/events?CFID=&amp;CFPARAMS=&amp;GameEventID=325&amp;GameID=0022000188&amp;Season=2020-21&amp;flag=1&amp;title=Ibaka%2015'%20Jump%20Shot%20(2%20PTS)%20(K.%20Leonard%206%20AST)", "S. Ibaka 15' Jump Shot (2 PTS) (K. Leonard 6 AST)")</f>
        <v>S. Ibaka 15' Jump Shot (2 PTS) (K. Leonard 6 AST)</v>
      </c>
      <c r="L380" s="2" t="str">
        <f>HYPERLINK("https://www.nba.com/game/...-vs-...-0022000188/play-by-play?watchFullGame=true", "LAC vs SAC - Q3 11:45.00")</f>
        <v>LAC vs SAC - Q3 11:45.00</v>
      </c>
      <c r="M380">
        <v>15.84</v>
      </c>
      <c r="N380">
        <v>22.42</v>
      </c>
      <c r="O380">
        <v>49.09</v>
      </c>
      <c r="P380">
        <v>5</v>
      </c>
      <c r="Q380">
        <v>158</v>
      </c>
      <c r="R380">
        <v>22</v>
      </c>
      <c r="S380">
        <v>49</v>
      </c>
      <c r="T380" t="s">
        <v>73</v>
      </c>
    </row>
    <row r="381" spans="1:20" x14ac:dyDescent="0.25">
      <c r="A381">
        <v>22201082</v>
      </c>
      <c r="B381" t="s">
        <v>4</v>
      </c>
      <c r="C381" t="s">
        <v>9</v>
      </c>
      <c r="D381">
        <v>89</v>
      </c>
      <c r="E381">
        <v>87</v>
      </c>
      <c r="F381">
        <v>2</v>
      </c>
      <c r="G381">
        <v>4</v>
      </c>
      <c r="H381" s="1">
        <v>4.9884259259259257E-3</v>
      </c>
      <c r="I381">
        <v>2022</v>
      </c>
      <c r="J381" t="s">
        <v>59</v>
      </c>
      <c r="K381" s="2" t="str">
        <f>HYPERLINK("https://www.nba.com/stats/events?CFID=&amp;CFPARAMS=&amp;GameEventID=568&amp;GameID=0022201082&amp;Season=2022-23&amp;flag=1&amp;title=P.%20George%2017'%20pullup%20Jump%20Shot%20(18%20PTS)%20(K.%20Leonard%204%20AST)", "P. George 17' pullup Jump Shot (18 PTS) (K. Leonard 4 AST)")</f>
        <v>P. George 17' pullup Jump Shot (18 PTS) (K. Leonard 4 AST)</v>
      </c>
      <c r="L381" s="2" t="str">
        <f>HYPERLINK("https://www.nba.com/game/...-vs-...-0022201082/play-by-play?watchFullGame=true", "LAC vs OKC - Q4 07:11.00")</f>
        <v>LAC vs OKC - Q4 07:11.00</v>
      </c>
      <c r="M381">
        <v>17.149999999999999</v>
      </c>
      <c r="N381">
        <v>22.52</v>
      </c>
      <c r="O381">
        <v>62.75</v>
      </c>
      <c r="P381">
        <v>-64</v>
      </c>
      <c r="Q381">
        <v>159</v>
      </c>
      <c r="R381">
        <v>22</v>
      </c>
      <c r="S381">
        <v>62</v>
      </c>
      <c r="T381" t="s">
        <v>73</v>
      </c>
    </row>
    <row r="382" spans="1:20" x14ac:dyDescent="0.25">
      <c r="A382">
        <v>22000324</v>
      </c>
      <c r="B382" t="s">
        <v>10</v>
      </c>
      <c r="C382" t="s">
        <v>9</v>
      </c>
      <c r="D382">
        <v>3</v>
      </c>
      <c r="E382">
        <v>0</v>
      </c>
      <c r="F382">
        <v>3</v>
      </c>
      <c r="G382">
        <v>1</v>
      </c>
      <c r="H382" s="1">
        <v>8.0902777777777778E-3</v>
      </c>
      <c r="I382">
        <v>2020</v>
      </c>
      <c r="J382" t="s">
        <v>59</v>
      </c>
      <c r="K382" s="2" t="str">
        <f>HYPERLINK("https://www.nba.com/stats/events?CFID=&amp;CFPARAMS=&amp;GameEventID=7&amp;GameID=0022000324&amp;Season=2020-21&amp;flag=1&amp;title=N.%20Batum%2025'%203PT%20%20(3%20PTS)%20(K.%20Leonard%201%20AST)", "N. Batum 25' 3PT  (3 PTS) (K. Leonard 1 AST)")</f>
        <v>N. Batum 25' 3PT  (3 PTS) (K. Leonard 1 AST)</v>
      </c>
      <c r="L382" s="2" t="str">
        <f>HYPERLINK("https://www.nba.com/game/...-vs-...-0022000324/play-by-play?watchFullGame=true", "LAC vs BKN - Q1 11:39.00")</f>
        <v>LAC vs BKN - Q1 11:39.00</v>
      </c>
      <c r="M382">
        <v>25.13</v>
      </c>
      <c r="N382">
        <v>22.82</v>
      </c>
      <c r="O382">
        <v>11.59</v>
      </c>
      <c r="P382">
        <v>192</v>
      </c>
      <c r="Q382">
        <v>162</v>
      </c>
      <c r="R382">
        <v>22</v>
      </c>
      <c r="S382">
        <v>11</v>
      </c>
      <c r="T382" t="s">
        <v>73</v>
      </c>
    </row>
    <row r="383" spans="1:20" x14ac:dyDescent="0.25">
      <c r="A383">
        <v>22200352</v>
      </c>
      <c r="B383" t="s">
        <v>4</v>
      </c>
      <c r="C383" t="s">
        <v>9</v>
      </c>
      <c r="D383">
        <v>115</v>
      </c>
      <c r="E383">
        <v>112</v>
      </c>
      <c r="F383">
        <v>3</v>
      </c>
      <c r="G383">
        <v>4</v>
      </c>
      <c r="H383" s="1">
        <v>1.6782407407407408E-3</v>
      </c>
      <c r="I383">
        <v>2022</v>
      </c>
      <c r="J383" t="s">
        <v>59</v>
      </c>
      <c r="K383" s="2" t="str">
        <f>HYPERLINK("https://www.nba.com/stats/events?CFID=&amp;CFPARAMS=&amp;GameEventID=642&amp;GameID=0022200352&amp;Season=2022-23&amp;flag=1&amp;title=M.%20Morris%20Sr.%2019'%20pullup%20Jump%20Shot%20(12%20PTS)%20(K.%20Leonard%202%20AST)", "M. Morris Sr. 19' pullup Jump Shot (12 PTS) (K. Leonard 2 AST)")</f>
        <v>M. Morris Sr. 19' pullup Jump Shot (12 PTS) (K. Leonard 2 AST)</v>
      </c>
      <c r="L383" s="2" t="str">
        <f>HYPERLINK("https://www.nba.com/game/...-vs-...-0022200352/play-by-play?watchFullGame=true", "LAC vs CHA - Q4 02:25.00")</f>
        <v>LAC vs CHA - Q4 02:25.00</v>
      </c>
      <c r="M383">
        <v>19.27</v>
      </c>
      <c r="N383">
        <v>23.74</v>
      </c>
      <c r="O383">
        <v>67.89</v>
      </c>
      <c r="P383">
        <v>-89</v>
      </c>
      <c r="Q383">
        <v>171</v>
      </c>
      <c r="R383">
        <v>23</v>
      </c>
      <c r="S383">
        <v>67</v>
      </c>
      <c r="T383" t="s">
        <v>73</v>
      </c>
    </row>
    <row r="384" spans="1:20" x14ac:dyDescent="0.25">
      <c r="A384">
        <v>22000554</v>
      </c>
      <c r="B384" t="s">
        <v>10</v>
      </c>
      <c r="C384" t="s">
        <v>9</v>
      </c>
      <c r="D384">
        <v>10</v>
      </c>
      <c r="E384">
        <v>3</v>
      </c>
      <c r="F384">
        <v>7</v>
      </c>
      <c r="G384">
        <v>1</v>
      </c>
      <c r="H384" s="1">
        <v>5.6018518518518518E-3</v>
      </c>
      <c r="I384">
        <v>2020</v>
      </c>
      <c r="J384" t="s">
        <v>59</v>
      </c>
      <c r="K384" s="2" t="str">
        <f>HYPERLINK("https://www.nba.com/stats/events?CFID=&amp;CFPARAMS=&amp;GameEventID=45&amp;GameID=0022000554&amp;Season=2020-21&amp;flag=1&amp;title=P.%20Beverley%2026'%203PT%20%20(3%20PTS)%20(K.%20Leonard%201%20AST)", "P. Beverley 26' 3PT  (3 PTS) (K. Leonard 1 AST)")</f>
        <v>P. Beverley 26' 3PT  (3 PTS) (K. Leonard 1 AST)</v>
      </c>
      <c r="L384" s="2" t="str">
        <f>HYPERLINK("https://www.nba.com/game/...-vs-...-0022000554/play-by-play?watchFullGame=true", "LAC vs WAS - Q1 08:04.00")</f>
        <v>LAC vs WAS - Q1 08:04.00</v>
      </c>
      <c r="M384">
        <v>26.67</v>
      </c>
      <c r="N384">
        <v>23.34</v>
      </c>
      <c r="O384">
        <v>8.4</v>
      </c>
      <c r="P384">
        <v>208</v>
      </c>
      <c r="Q384">
        <v>167</v>
      </c>
      <c r="R384">
        <v>23</v>
      </c>
      <c r="S384">
        <v>8</v>
      </c>
      <c r="T384" t="s">
        <v>73</v>
      </c>
    </row>
    <row r="385" spans="1:20" x14ac:dyDescent="0.25">
      <c r="A385">
        <v>42000172</v>
      </c>
      <c r="B385" t="s">
        <v>10</v>
      </c>
      <c r="C385" t="s">
        <v>9</v>
      </c>
      <c r="D385">
        <v>109</v>
      </c>
      <c r="E385">
        <v>114</v>
      </c>
      <c r="F385">
        <v>5</v>
      </c>
      <c r="G385">
        <v>4</v>
      </c>
      <c r="H385" s="1">
        <v>3.3449074074074076E-3</v>
      </c>
      <c r="I385" t="s">
        <v>66</v>
      </c>
      <c r="J385" t="s">
        <v>59</v>
      </c>
      <c r="K385" s="2" t="str">
        <f>HYPERLINK("https://www.nba.com/stats/events?CFID=&amp;CFPARAMS=&amp;GameEventID=558&amp;GameID=0042000172&amp;Season=2020-21&amp;flag=1&amp;title=M.%20Morris%20Sr.%2024'%203PT%20%20(9%20PTS)%20(K.%20Leonard%203%20AST)", "M. Morris Sr. 24' 3PT  (9 PTS) (K. Leonard 3 AST)")</f>
        <v>M. Morris Sr. 24' 3PT  (9 PTS) (K. Leonard 3 AST)</v>
      </c>
      <c r="L385" s="2" t="str">
        <f>HYPERLINK("https://www.nba.com/game/...-vs-...-0042000172/play-by-play?watchFullGame=true", "LAC vs DAL - Q4 04:49.00")</f>
        <v>LAC vs DAL - Q4 04:49.00</v>
      </c>
      <c r="M385">
        <v>24.66</v>
      </c>
      <c r="N385">
        <v>24</v>
      </c>
      <c r="O385">
        <v>85.12</v>
      </c>
      <c r="P385">
        <v>23</v>
      </c>
      <c r="Q385">
        <v>85</v>
      </c>
      <c r="R385">
        <v>23</v>
      </c>
      <c r="S385">
        <v>85</v>
      </c>
      <c r="T385" t="s">
        <v>73</v>
      </c>
    </row>
    <row r="386" spans="1:20" x14ac:dyDescent="0.25">
      <c r="A386">
        <v>22000172</v>
      </c>
      <c r="B386" t="s">
        <v>4</v>
      </c>
      <c r="C386" t="s">
        <v>9</v>
      </c>
      <c r="D386">
        <v>4</v>
      </c>
      <c r="E386">
        <v>6</v>
      </c>
      <c r="F386">
        <v>2</v>
      </c>
      <c r="G386">
        <v>1</v>
      </c>
      <c r="H386" s="1">
        <v>6.828703703703704E-3</v>
      </c>
      <c r="I386">
        <v>2020</v>
      </c>
      <c r="J386" t="s">
        <v>59</v>
      </c>
      <c r="K386" s="2" t="str">
        <f>HYPERLINK("https://www.nba.com/stats/events?CFID=&amp;CFPARAMS=&amp;GameEventID=20&amp;GameID=0022000172&amp;Season=2020-21&amp;flag=1&amp;title=Ibaka%2017'%20Jump%20Shot%20(4%20PTS)%20(K.%20Leonard%201%20AST)", "S. Ibaka 17' Jump Shot (4 PTS) (K. Leonard 1 AST)")</f>
        <v>S. Ibaka 17' Jump Shot (4 PTS) (K. Leonard 1 AST)</v>
      </c>
      <c r="L386" s="2" t="str">
        <f>HYPERLINK("https://www.nba.com/game/...-vs-...-0022000172/play-by-play?watchFullGame=true", "LAC vs NOP - Q1 09:50.00")</f>
        <v>LAC vs NOP - Q1 09:50.00</v>
      </c>
      <c r="M386">
        <v>17.8</v>
      </c>
      <c r="N386">
        <v>23.6</v>
      </c>
      <c r="O386">
        <v>39.04</v>
      </c>
      <c r="P386">
        <v>55</v>
      </c>
      <c r="Q386">
        <v>169</v>
      </c>
      <c r="R386">
        <v>23</v>
      </c>
      <c r="S386">
        <v>39</v>
      </c>
      <c r="T386" t="s">
        <v>73</v>
      </c>
    </row>
    <row r="387" spans="1:20" x14ac:dyDescent="0.25">
      <c r="A387">
        <v>22300848</v>
      </c>
      <c r="B387" t="s">
        <v>10</v>
      </c>
      <c r="C387" t="s">
        <v>9</v>
      </c>
      <c r="D387">
        <v>104</v>
      </c>
      <c r="E387">
        <v>96</v>
      </c>
      <c r="F387">
        <v>8</v>
      </c>
      <c r="G387">
        <v>4</v>
      </c>
      <c r="H387" s="1">
        <v>4.8958333333333336E-3</v>
      </c>
      <c r="I387">
        <v>2023</v>
      </c>
      <c r="J387" t="s">
        <v>59</v>
      </c>
      <c r="K387" s="2" t="str">
        <f>HYPERLINK("https://www.nba.com/stats/events?CFID=&amp;CFPARAMS=&amp;GameEventID=542&amp;GameID=0022300848&amp;Season=2023-24&amp;flag=1&amp;title=N.%20Powell%2027'%203PT%20%20(14%20PTS)%20(K.%20Leonard%206%20AST)", "N. Powell 27' 3PT  (14 PTS) (K. Leonard 6 AST)")</f>
        <v>N. Powell 27' 3PT  (14 PTS) (K. Leonard 6 AST)</v>
      </c>
      <c r="L387" s="2" t="str">
        <f>HYPERLINK("https://www.nba.com/game/...-vs-...-0022300848/play-by-play?watchFullGame=true", "LAC vs LAL - Q4 07:03.00")</f>
        <v>LAC vs LAL - Q4 07:03.00</v>
      </c>
      <c r="M387">
        <v>27.64</v>
      </c>
      <c r="N387">
        <v>23.97</v>
      </c>
      <c r="O387">
        <v>6.86</v>
      </c>
      <c r="P387">
        <v>216</v>
      </c>
      <c r="Q387">
        <v>173</v>
      </c>
      <c r="R387">
        <v>23</v>
      </c>
      <c r="S387">
        <v>6</v>
      </c>
      <c r="T387" t="s">
        <v>73</v>
      </c>
    </row>
    <row r="388" spans="1:20" x14ac:dyDescent="0.25">
      <c r="A388">
        <v>41900236</v>
      </c>
      <c r="B388" t="s">
        <v>4</v>
      </c>
      <c r="C388" t="s">
        <v>61</v>
      </c>
      <c r="D388">
        <v>11</v>
      </c>
      <c r="E388">
        <v>8</v>
      </c>
      <c r="F388">
        <v>3</v>
      </c>
      <c r="G388">
        <v>1</v>
      </c>
      <c r="H388" s="1">
        <v>5.37037037037037E-3</v>
      </c>
      <c r="I388" t="s">
        <v>62</v>
      </c>
      <c r="J388" t="s">
        <v>59</v>
      </c>
      <c r="K388" s="2" t="str">
        <f>HYPERLINK("https://www.nba.com/stats/events?CFID=&amp;CFPARAMS=&amp;GameEventID=47&amp;GameID=0041900236&amp;Season=2019-20&amp;flag=1&amp;title=P.%20George%2018'%20jumpshot%20(6%20PTS)%20(K.%20Leonard%201%20AST)", "P. George 18' jumpshot (6 PTS) (K. Leonard 1 AST)")</f>
        <v>P. George 18' jumpshot (6 PTS) (K. Leonard 1 AST)</v>
      </c>
      <c r="L388" s="2" t="str">
        <f>HYPERLINK("https://www.nba.com/game/...-vs-...-0041900236/play-by-play?watchFullGame=true", "LAC vs DEN - Q1 07:44.00")</f>
        <v>LAC vs DEN - Q1 07:44.00</v>
      </c>
      <c r="M388">
        <v>18.170000000000002</v>
      </c>
      <c r="N388">
        <v>23.6</v>
      </c>
      <c r="O388">
        <v>59.87</v>
      </c>
      <c r="P388">
        <v>-49</v>
      </c>
      <c r="Q388">
        <v>169</v>
      </c>
      <c r="R388">
        <v>23</v>
      </c>
      <c r="S388">
        <v>59</v>
      </c>
      <c r="T388" t="s">
        <v>73</v>
      </c>
    </row>
    <row r="389" spans="1:20" x14ac:dyDescent="0.25">
      <c r="A389">
        <v>22200438</v>
      </c>
      <c r="B389" t="s">
        <v>10</v>
      </c>
      <c r="C389" t="s">
        <v>9</v>
      </c>
      <c r="D389">
        <v>6</v>
      </c>
      <c r="E389">
        <v>5</v>
      </c>
      <c r="F389">
        <v>1</v>
      </c>
      <c r="G389">
        <v>1</v>
      </c>
      <c r="H389" s="1">
        <v>6.7708333333333336E-3</v>
      </c>
      <c r="I389">
        <v>2022</v>
      </c>
      <c r="J389" t="s">
        <v>59</v>
      </c>
      <c r="K389" s="2" t="str">
        <f>HYPERLINK("https://www.nba.com/stats/events?CFID=&amp;CFPARAMS=&amp;GameEventID=26&amp;GameID=0022200438&amp;Season=2022-23&amp;flag=1&amp;title=J.%20Wall%2025'%203PT%20%20(3%20PTS)%20(K.%20Leonard%201%20AST)", "J. Wall 25' 3PT  (3 PTS) (K. Leonard 1 AST)")</f>
        <v>J. Wall 25' 3PT  (3 PTS) (K. Leonard 1 AST)</v>
      </c>
      <c r="L389" s="2" t="str">
        <f>HYPERLINK("https://www.nba.com/game/...-vs-...-0022200438/play-by-play?watchFullGame=true", "LAC vs WAS - Q1 09:45.00")</f>
        <v>LAC vs WAS - Q1 09:45.00</v>
      </c>
      <c r="M389">
        <v>25.23</v>
      </c>
      <c r="N389">
        <v>23.97</v>
      </c>
      <c r="O389">
        <v>13.24</v>
      </c>
      <c r="P389">
        <v>184</v>
      </c>
      <c r="Q389">
        <v>173</v>
      </c>
      <c r="R389">
        <v>23</v>
      </c>
      <c r="S389">
        <v>13</v>
      </c>
      <c r="T389" t="s">
        <v>73</v>
      </c>
    </row>
    <row r="390" spans="1:20" x14ac:dyDescent="0.25">
      <c r="A390">
        <v>22400842</v>
      </c>
      <c r="B390" t="s">
        <v>10</v>
      </c>
      <c r="C390" t="s">
        <v>9</v>
      </c>
      <c r="D390">
        <v>56</v>
      </c>
      <c r="E390">
        <v>52</v>
      </c>
      <c r="F390">
        <v>4</v>
      </c>
      <c r="G390">
        <v>2</v>
      </c>
      <c r="H390" s="1">
        <v>1.4467592592592592E-3</v>
      </c>
      <c r="I390">
        <v>2024</v>
      </c>
      <c r="J390" t="s">
        <v>59</v>
      </c>
      <c r="K390" s="2" t="str">
        <f>HYPERLINK("https://www.nba.com/stats/events?CFID=&amp;CFPARAMS=&amp;GameEventID=295&amp;GameID=0022400842&amp;Season=2024-25&amp;flag=1&amp;title=K.%20Dunn%2026'%203PT%20%20(5%20PTS)%20(K.%20Leonard%201%20AST)", "K. Dunn 26' 3PT  (5 PTS) (K. Leonard 1 AST)")</f>
        <v>K. Dunn 26' 3PT  (5 PTS) (K. Leonard 1 AST)</v>
      </c>
      <c r="L390" s="2" t="str">
        <f>HYPERLINK("https://www.nba.com/game/...-vs-...-0022400842/play-by-play?watchFullGame=true", "LAC vs CHI - Q2 02:05.00")</f>
        <v>LAC vs CHI - Q2 02:05.00</v>
      </c>
      <c r="M390">
        <v>26.57</v>
      </c>
      <c r="N390">
        <v>23.13</v>
      </c>
      <c r="O390">
        <v>8.31</v>
      </c>
      <c r="P390">
        <v>208</v>
      </c>
      <c r="Q390">
        <v>165</v>
      </c>
      <c r="R390">
        <v>23</v>
      </c>
      <c r="S390">
        <v>8</v>
      </c>
      <c r="T390" t="s">
        <v>73</v>
      </c>
    </row>
    <row r="391" spans="1:20" x14ac:dyDescent="0.25">
      <c r="A391">
        <v>22000501</v>
      </c>
      <c r="B391" t="s">
        <v>4</v>
      </c>
      <c r="C391" t="s">
        <v>9</v>
      </c>
      <c r="D391">
        <v>55</v>
      </c>
      <c r="E391">
        <v>61</v>
      </c>
      <c r="F391">
        <v>6</v>
      </c>
      <c r="G391">
        <v>3</v>
      </c>
      <c r="H391" s="1">
        <v>7.8472222222222224E-3</v>
      </c>
      <c r="I391">
        <v>2020</v>
      </c>
      <c r="J391" t="s">
        <v>59</v>
      </c>
      <c r="K391" s="2" t="str">
        <f>HYPERLINK("https://www.nba.com/stats/events?CFID=&amp;CFPARAMS=&amp;GameEventID=315&amp;GameID=0022000501&amp;Season=2020-21&amp;flag=1&amp;title=Ibaka%2018'%20Jump%20Shot%20(7%20PTS)%20(K.%20Leonard%206%20AST)", "S. Ibaka 18' Jump Shot (7 PTS) (K. Leonard 6 AST)")</f>
        <v>S. Ibaka 18' Jump Shot (7 PTS) (K. Leonard 6 AST)</v>
      </c>
      <c r="L391" s="2" t="str">
        <f>HYPERLINK("https://www.nba.com/game/...-vs-...-0022000501/play-by-play?watchFullGame=true", "LAC vs MEM - Q3 11:18.00")</f>
        <v>LAC vs MEM - Q3 11:18.00</v>
      </c>
      <c r="M391">
        <v>18.16</v>
      </c>
      <c r="N391">
        <v>24.26</v>
      </c>
      <c r="O391">
        <v>40.76</v>
      </c>
      <c r="P391">
        <v>46</v>
      </c>
      <c r="Q391">
        <v>176</v>
      </c>
      <c r="R391">
        <v>24</v>
      </c>
      <c r="S391">
        <v>40</v>
      </c>
      <c r="T391" t="s">
        <v>73</v>
      </c>
    </row>
    <row r="392" spans="1:20" x14ac:dyDescent="0.25">
      <c r="A392">
        <v>22000756</v>
      </c>
      <c r="B392" t="s">
        <v>4</v>
      </c>
      <c r="C392" t="s">
        <v>9</v>
      </c>
      <c r="D392">
        <v>79</v>
      </c>
      <c r="E392">
        <v>57</v>
      </c>
      <c r="F392">
        <v>22</v>
      </c>
      <c r="G392">
        <v>4</v>
      </c>
      <c r="H392" s="1">
        <v>7.9282407407407409E-3</v>
      </c>
      <c r="I392">
        <v>2020</v>
      </c>
      <c r="J392" t="s">
        <v>59</v>
      </c>
      <c r="K392" s="2" t="str">
        <f>HYPERLINK("https://www.nba.com/stats/events?CFID=&amp;CFPARAMS=&amp;GameEventID=498&amp;GameID=0022000756&amp;Season=2020-21&amp;flag=1&amp;title=L.%20Kennard%2019'%20step%20back%20Jump%20Shot%20(5%20PTS)%20(K.%20Leonard%206%20AST)", "L. Kennard 19' step back Jump Shot (5 PTS) (K. Leonard 6 AST)")</f>
        <v>L. Kennard 19' step back Jump Shot (5 PTS) (K. Leonard 6 AST)</v>
      </c>
      <c r="L392" s="2" t="str">
        <f>HYPERLINK("https://www.nba.com/game/...-vs-...-0022000756/play-by-play?watchFullGame=true", "LAC vs LAL - Q4 11:25.00")</f>
        <v>LAC vs LAL - Q4 11:25.00</v>
      </c>
      <c r="M392">
        <v>19</v>
      </c>
      <c r="N392">
        <v>24.13</v>
      </c>
      <c r="O392">
        <v>34.869999999999997</v>
      </c>
      <c r="P392">
        <v>76</v>
      </c>
      <c r="Q392">
        <v>174</v>
      </c>
      <c r="R392">
        <v>24</v>
      </c>
      <c r="S392">
        <v>34</v>
      </c>
      <c r="T392" t="s">
        <v>73</v>
      </c>
    </row>
    <row r="393" spans="1:20" x14ac:dyDescent="0.25">
      <c r="A393">
        <v>22000966</v>
      </c>
      <c r="B393" t="s">
        <v>10</v>
      </c>
      <c r="C393" t="s">
        <v>9</v>
      </c>
      <c r="D393">
        <v>57</v>
      </c>
      <c r="E393">
        <v>56</v>
      </c>
      <c r="F393">
        <v>1</v>
      </c>
      <c r="G393">
        <v>3</v>
      </c>
      <c r="H393" s="1">
        <v>6.5624999999999998E-3</v>
      </c>
      <c r="I393">
        <v>2020</v>
      </c>
      <c r="J393" t="s">
        <v>59</v>
      </c>
      <c r="K393" s="2" t="str">
        <f>HYPERLINK("https://www.nba.com/stats/events?CFID=&amp;CFPARAMS=&amp;GameEventID=349&amp;GameID=0022000966&amp;Season=2020-21&amp;flag=1&amp;title=R.%20Jackson%2024'%203PT%20step%20back%20(12%20PTS)%20(K.%20Leonard%204%20AST)", "R. Jackson 24' 3PT step back (12 PTS) (K. Leonard 4 AST)")</f>
        <v>R. Jackson 24' 3PT step back (12 PTS) (K. Leonard 4 AST)</v>
      </c>
      <c r="L393" s="2" t="str">
        <f>HYPERLINK("https://www.nba.com/game/...-vs-...-0022000966/play-by-play?watchFullGame=true", "LAC vs DEN - Q3 09:27.00")</f>
        <v>LAC vs DEN - Q3 09:27.00</v>
      </c>
      <c r="M393">
        <v>24.66</v>
      </c>
      <c r="N393">
        <v>24.52</v>
      </c>
      <c r="O393">
        <v>84.14</v>
      </c>
      <c r="P393">
        <v>-171</v>
      </c>
      <c r="Q393">
        <v>178</v>
      </c>
      <c r="R393">
        <v>24</v>
      </c>
      <c r="S393">
        <v>84</v>
      </c>
      <c r="T393" t="s">
        <v>73</v>
      </c>
    </row>
    <row r="394" spans="1:20" x14ac:dyDescent="0.25">
      <c r="A394">
        <v>42300173</v>
      </c>
      <c r="B394" t="s">
        <v>10</v>
      </c>
      <c r="C394" t="s">
        <v>9</v>
      </c>
      <c r="D394">
        <v>75</v>
      </c>
      <c r="E394">
        <v>91</v>
      </c>
      <c r="F394">
        <v>16</v>
      </c>
      <c r="G394">
        <v>4</v>
      </c>
      <c r="H394" s="1">
        <v>4.6412037037037038E-3</v>
      </c>
      <c r="I394" t="s">
        <v>72</v>
      </c>
      <c r="J394" t="s">
        <v>59</v>
      </c>
      <c r="K394" s="2" t="str">
        <f>HYPERLINK("https://www.nba.com/stats/events?CFID=&amp;CFPARAMS=&amp;GameEventID=577&amp;GameID=0042300173&amp;Season=2023-24&amp;flag=1&amp;title=N.%20Powell%2024'%203PT%20%20(17%20PTS)%20(K.%20Leonard%201%20AST)", "N. Powell 24' 3PT  (17 PTS) (K. Leonard 1 AST)")</f>
        <v>N. Powell 24' 3PT  (17 PTS) (K. Leonard 1 AST)</v>
      </c>
      <c r="L394" s="2" t="str">
        <f>HYPERLINK("https://www.nba.com/game/...-vs-...-0042300173/play-by-play?watchFullGame=true", "LAC vs DAL - Q4 06:41.00")</f>
        <v>LAC vs DAL - Q4 06:41.00</v>
      </c>
      <c r="M394">
        <v>24.89</v>
      </c>
      <c r="N394">
        <v>24.52</v>
      </c>
      <c r="O394">
        <v>15.2</v>
      </c>
      <c r="P394">
        <v>24</v>
      </c>
      <c r="Q394">
        <v>15</v>
      </c>
      <c r="R394">
        <v>24</v>
      </c>
      <c r="S394">
        <v>15</v>
      </c>
      <c r="T394" t="s">
        <v>73</v>
      </c>
    </row>
    <row r="395" spans="1:20" x14ac:dyDescent="0.25">
      <c r="A395">
        <v>21900145</v>
      </c>
      <c r="B395" t="s">
        <v>10</v>
      </c>
      <c r="C395" t="s">
        <v>61</v>
      </c>
      <c r="D395">
        <v>54</v>
      </c>
      <c r="E395">
        <v>46</v>
      </c>
      <c r="F395">
        <v>8</v>
      </c>
      <c r="G395">
        <v>3</v>
      </c>
      <c r="H395" s="1">
        <v>7.2685185185185188E-3</v>
      </c>
      <c r="I395">
        <v>2019</v>
      </c>
      <c r="J395" t="s">
        <v>59</v>
      </c>
      <c r="K395" s="2" t="str">
        <f>HYPERLINK("https://www.nba.com/stats/events?CFID=&amp;CFPARAMS=&amp;GameEventID=353&amp;GameID=0021900145&amp;Season=2019-20&amp;flag=1&amp;title=[LAC]%20Shamet%203pt%20shot:%20Made%20(6%20PTS)%20assist:%20Leonard%20(6%20AST)", "[LAC] Shamet 3pt shot: Made (6 PTS) assist: Leonard (6 AST)")</f>
        <v>[LAC] Shamet 3pt shot: Made (6 PTS) assist: Leonard (6 AST)</v>
      </c>
      <c r="L395" s="2" t="str">
        <f>HYPERLINK("https://www.nba.com/game/...-vs-...-0021900145/play-by-play?watchFullGame=true", "LAC vs TOR - Q3 10:28.00")</f>
        <v>LAC vs TOR - Q3 10:28.00</v>
      </c>
      <c r="M395">
        <v>25.54</v>
      </c>
      <c r="N395">
        <v>24.49</v>
      </c>
      <c r="O395">
        <v>14.39</v>
      </c>
      <c r="P395">
        <v>178</v>
      </c>
      <c r="Q395">
        <v>178</v>
      </c>
      <c r="R395">
        <v>24</v>
      </c>
      <c r="S395">
        <v>14</v>
      </c>
      <c r="T395" t="s">
        <v>73</v>
      </c>
    </row>
    <row r="396" spans="1:20" x14ac:dyDescent="0.25">
      <c r="A396">
        <v>22000989</v>
      </c>
      <c r="B396" t="s">
        <v>10</v>
      </c>
      <c r="C396" t="s">
        <v>9</v>
      </c>
      <c r="D396">
        <v>58</v>
      </c>
      <c r="E396">
        <v>59</v>
      </c>
      <c r="F396">
        <v>1</v>
      </c>
      <c r="G396">
        <v>3</v>
      </c>
      <c r="H396" s="1">
        <v>6.4120370370370373E-3</v>
      </c>
      <c r="I396">
        <v>2020</v>
      </c>
      <c r="J396" t="s">
        <v>59</v>
      </c>
      <c r="K396" s="2" t="str">
        <f>HYPERLINK("https://www.nba.com/stats/events?CFID=&amp;CFPARAMS=&amp;GameEventID=308&amp;GameID=0022000989&amp;Season=2020-21&amp;flag=1&amp;title=R.%20Jackson%2024'%203PT%20%20(11%20PTS)%20(K.%20Leonard%204%20AST)", "R. Jackson 24' 3PT  (11 PTS) (K. Leonard 4 AST)")</f>
        <v>R. Jackson 24' 3PT  (11 PTS) (K. Leonard 4 AST)</v>
      </c>
      <c r="L396" s="2" t="str">
        <f>HYPERLINK("https://www.nba.com/game/...-vs-...-0022000989/play-by-play?watchFullGame=true", "LAC vs TOR - Q3 09:14.00")</f>
        <v>LAC vs TOR - Q3 09:14.00</v>
      </c>
      <c r="M396">
        <v>24.71</v>
      </c>
      <c r="N396">
        <v>24.66</v>
      </c>
      <c r="O396">
        <v>16</v>
      </c>
      <c r="P396">
        <v>170</v>
      </c>
      <c r="Q396">
        <v>179</v>
      </c>
      <c r="R396">
        <v>24</v>
      </c>
      <c r="S396">
        <v>16</v>
      </c>
      <c r="T396" t="s">
        <v>73</v>
      </c>
    </row>
    <row r="397" spans="1:20" x14ac:dyDescent="0.25">
      <c r="A397">
        <v>22300716</v>
      </c>
      <c r="B397" t="s">
        <v>10</v>
      </c>
      <c r="C397" t="s">
        <v>9</v>
      </c>
      <c r="D397">
        <v>122</v>
      </c>
      <c r="E397">
        <v>118</v>
      </c>
      <c r="F397">
        <v>4</v>
      </c>
      <c r="G397">
        <v>4</v>
      </c>
      <c r="H397" s="1">
        <v>4.2824074074074075E-3</v>
      </c>
      <c r="I397">
        <v>2023</v>
      </c>
      <c r="J397" t="s">
        <v>59</v>
      </c>
      <c r="K397" s="2" t="str">
        <f>HYPERLINK("https://www.nba.com/stats/events?CFID=&amp;CFPARAMS=&amp;GameEventID=566&amp;GameID=0022300716&amp;Season=2023-24&amp;flag=1&amp;title=P.%20George%2025'%203PT%20%20(17%20PTS)%20(K.%20Leonard%204%20AST)", "P. George 25' 3PT  (17 PTS) (K. Leonard 4 AST)")</f>
        <v>P. George 25' 3PT  (17 PTS) (K. Leonard 4 AST)</v>
      </c>
      <c r="L397" s="2" t="str">
        <f>HYPERLINK("https://www.nba.com/game/...-vs-...-0022300716/play-by-play?watchFullGame=true", "LAC vs ATL - Q4 06:10.00")</f>
        <v>LAC vs ATL - Q4 06:10.00</v>
      </c>
      <c r="M397">
        <v>25.41</v>
      </c>
      <c r="N397">
        <v>24.79</v>
      </c>
      <c r="O397">
        <v>14.22</v>
      </c>
      <c r="P397">
        <v>179</v>
      </c>
      <c r="Q397">
        <v>180</v>
      </c>
      <c r="R397">
        <v>24</v>
      </c>
      <c r="S397">
        <v>14</v>
      </c>
      <c r="T397" t="s">
        <v>73</v>
      </c>
    </row>
    <row r="398" spans="1:20" x14ac:dyDescent="0.25">
      <c r="A398">
        <v>22400671</v>
      </c>
      <c r="B398" t="s">
        <v>10</v>
      </c>
      <c r="C398" t="s">
        <v>9</v>
      </c>
      <c r="D398">
        <v>126</v>
      </c>
      <c r="E398">
        <v>110</v>
      </c>
      <c r="F398">
        <v>16</v>
      </c>
      <c r="G398">
        <v>4</v>
      </c>
      <c r="H398" s="1">
        <v>8.9120370370370373E-4</v>
      </c>
      <c r="I398">
        <v>2024</v>
      </c>
      <c r="J398" t="s">
        <v>59</v>
      </c>
      <c r="K398" s="2" t="str">
        <f>HYPERLINK("https://www.nba.com/stats/events?CFID=&amp;CFPARAMS=&amp;GameEventID=633&amp;GameID=0022400671&amp;Season=2024-25&amp;flag=1&amp;title=J.%20Harden%2024'%203PT%20running%20(21%20PTS)%20(K.%20Leonard%207%20AST)", "J. Harden 24' 3PT running (21 PTS) (K. Leonard 7 AST)")</f>
        <v>J. Harden 24' 3PT running (21 PTS) (K. Leonard 7 AST)</v>
      </c>
      <c r="L398" s="2" t="str">
        <f>HYPERLINK("https://www.nba.com/game/...-vs-...-0022400671/play-by-play?watchFullGame=true", "LAC vs SAS - Q4 01:17.00")</f>
        <v>LAC vs SAS - Q4 01:17.00</v>
      </c>
      <c r="M398">
        <v>24.55</v>
      </c>
      <c r="N398">
        <v>24.26</v>
      </c>
      <c r="O398">
        <v>15.69</v>
      </c>
      <c r="P398">
        <v>172</v>
      </c>
      <c r="Q398">
        <v>176</v>
      </c>
      <c r="R398">
        <v>24</v>
      </c>
      <c r="S398">
        <v>15</v>
      </c>
      <c r="T398" t="s">
        <v>73</v>
      </c>
    </row>
    <row r="399" spans="1:20" x14ac:dyDescent="0.25">
      <c r="A399">
        <v>21900292</v>
      </c>
      <c r="B399" t="s">
        <v>10</v>
      </c>
      <c r="C399" t="s">
        <v>61</v>
      </c>
      <c r="D399">
        <v>92</v>
      </c>
      <c r="E399">
        <v>69</v>
      </c>
      <c r="F399">
        <v>23</v>
      </c>
      <c r="G399">
        <v>3</v>
      </c>
      <c r="H399" s="1">
        <v>6.5972222222222222E-3</v>
      </c>
      <c r="I399">
        <v>2019</v>
      </c>
      <c r="J399" t="s">
        <v>59</v>
      </c>
      <c r="K399" s="2" t="str">
        <f>HYPERLINK("https://www.nba.com/stats/events?CFID=&amp;CFPARAMS=&amp;GameEventID=415&amp;GameID=0021900292&amp;Season=2019-20&amp;flag=1&amp;title=M.%20Harkless%2028'%203PT%20%20(7%20PTS)%20(K.%20Leonard%202%20AST)", "M. Harkless 28' 3PT  (7 PTS) (K. Leonard 2 AST)")</f>
        <v>M. Harkless 28' 3PT  (7 PTS) (K. Leonard 2 AST)</v>
      </c>
      <c r="L399" s="2" t="str">
        <f>HYPERLINK("https://www.nba.com/game/...-vs-...-0021900292/play-by-play?watchFullGame=true", "LAC vs WAS - Q3 09:30.00")</f>
        <v>LAC vs WAS - Q3 09:30.00</v>
      </c>
      <c r="M399">
        <v>27.52</v>
      </c>
      <c r="N399">
        <v>24.62</v>
      </c>
      <c r="O399">
        <v>90.86</v>
      </c>
      <c r="P399">
        <v>-204</v>
      </c>
      <c r="Q399">
        <v>179</v>
      </c>
      <c r="R399">
        <v>24</v>
      </c>
      <c r="S399">
        <v>90</v>
      </c>
      <c r="T399" t="s">
        <v>73</v>
      </c>
    </row>
    <row r="400" spans="1:20" x14ac:dyDescent="0.25">
      <c r="A400">
        <v>21900523</v>
      </c>
      <c r="B400" t="s">
        <v>4</v>
      </c>
      <c r="C400" t="s">
        <v>61</v>
      </c>
      <c r="D400">
        <v>6</v>
      </c>
      <c r="E400">
        <v>7</v>
      </c>
      <c r="F400">
        <v>1</v>
      </c>
      <c r="G400">
        <v>1</v>
      </c>
      <c r="H400" s="1">
        <v>6.828703703703704E-3</v>
      </c>
      <c r="I400">
        <v>2019</v>
      </c>
      <c r="J400" t="s">
        <v>59</v>
      </c>
      <c r="K400" s="2" t="str">
        <f>HYPERLINK("https://www.nba.com/stats/events?CFID=&amp;CFPARAMS=&amp;GameEventID=28&amp;GameID=0021900523&amp;Season=2019-20&amp;flag=1&amp;title=I.%20Zubac%2020'%20jumpshot%20(4%20PTS)%20(K.%20Leonard%201%20AST)", "I. Zubac 20' jumpshot (4 PTS) (K. Leonard 1 AST)")</f>
        <v>I. Zubac 20' jumpshot (4 PTS) (K. Leonard 1 AST)</v>
      </c>
      <c r="L400" s="2" t="str">
        <f>HYPERLINK("https://www.nba.com/game/...-vs-...-0021900523/play-by-play?watchFullGame=true", "LAC vs MEM - Q1 09:50.00")</f>
        <v>LAC vs MEM - Q1 09:50.00</v>
      </c>
      <c r="M400">
        <v>19.7</v>
      </c>
      <c r="N400">
        <v>25.94</v>
      </c>
      <c r="O400">
        <v>51.89</v>
      </c>
      <c r="P400">
        <v>-9</v>
      </c>
      <c r="Q400">
        <v>191</v>
      </c>
      <c r="R400">
        <v>25</v>
      </c>
      <c r="S400">
        <v>51</v>
      </c>
      <c r="T400" t="s">
        <v>73</v>
      </c>
    </row>
    <row r="401" spans="1:20" x14ac:dyDescent="0.25">
      <c r="A401">
        <v>22200223</v>
      </c>
      <c r="B401" t="s">
        <v>10</v>
      </c>
      <c r="C401" t="s">
        <v>9</v>
      </c>
      <c r="D401">
        <v>83</v>
      </c>
      <c r="E401">
        <v>77</v>
      </c>
      <c r="F401">
        <v>6</v>
      </c>
      <c r="G401">
        <v>4</v>
      </c>
      <c r="H401" s="1">
        <v>4.4560185185185189E-3</v>
      </c>
      <c r="I401">
        <v>2022</v>
      </c>
      <c r="J401" t="s">
        <v>59</v>
      </c>
      <c r="K401" s="2" t="str">
        <f>HYPERLINK("https://www.nba.com/stats/events?CFID=&amp;CFPARAMS=&amp;GameEventID=571&amp;GameID=0022200223&amp;Season=2022-23&amp;flag=1&amp;title=M.%20Morris%20Sr.%2028'%203PT%20step%20back%20(15%20PTS)%20(K.%20Leonard%204%20AST)", "M. Morris Sr. 28' 3PT step back (15 PTS) (K. Leonard 4 AST)")</f>
        <v>M. Morris Sr. 28' 3PT step back (15 PTS) (K. Leonard 4 AST)</v>
      </c>
      <c r="L401" s="2" t="str">
        <f>HYPERLINK("https://www.nba.com/game/...-vs-...-0022200223/play-by-play?watchFullGame=true", "LAC vs DET - Q4 06:25.00")</f>
        <v>LAC vs DET - Q4 06:25.00</v>
      </c>
      <c r="M401">
        <v>28.19</v>
      </c>
      <c r="N401">
        <v>25.94</v>
      </c>
      <c r="O401">
        <v>8.58</v>
      </c>
      <c r="P401">
        <v>207</v>
      </c>
      <c r="Q401">
        <v>191</v>
      </c>
      <c r="R401">
        <v>25</v>
      </c>
      <c r="S401">
        <v>8</v>
      </c>
      <c r="T401" t="s">
        <v>73</v>
      </c>
    </row>
    <row r="402" spans="1:20" x14ac:dyDescent="0.25">
      <c r="A402">
        <v>22300343</v>
      </c>
      <c r="B402" t="s">
        <v>4</v>
      </c>
      <c r="C402" t="s">
        <v>9</v>
      </c>
      <c r="D402">
        <v>111</v>
      </c>
      <c r="E402">
        <v>96</v>
      </c>
      <c r="F402">
        <v>15</v>
      </c>
      <c r="G402">
        <v>3</v>
      </c>
      <c r="H402" s="1">
        <v>5.2199074074074073E-4</v>
      </c>
      <c r="I402">
        <v>2023</v>
      </c>
      <c r="J402" t="s">
        <v>59</v>
      </c>
      <c r="K402" s="2" t="str">
        <f>HYPERLINK("https://www.nba.com/stats/events?CFID=&amp;CFPARAMS=&amp;GameEventID=501&amp;GameID=0022300343&amp;Season=2023-24&amp;flag=1&amp;title=N.%20Powell%2018'%20driving%20floating%20Jump%20Shot%20(10%20PTS)%20(K.%20Leonard%204%20AST)", "N. Powell 18' driving floating Jump Shot (10 PTS) (K. Leonard 4 AST)")</f>
        <v>N. Powell 18' driving floating Jump Shot (10 PTS) (K. Leonard 4 AST)</v>
      </c>
      <c r="L402" s="2" t="str">
        <f>HYPERLINK("https://www.nba.com/game/...-vs-...-0022300343/play-by-play?watchFullGame=true", "LAC vs NYK - Q3 00:45.10")</f>
        <v>LAC vs NYK - Q3 00:45.10</v>
      </c>
      <c r="M402">
        <v>18.739999999999998</v>
      </c>
      <c r="N402">
        <v>25.41</v>
      </c>
      <c r="O402">
        <v>46.08</v>
      </c>
      <c r="P402">
        <v>20</v>
      </c>
      <c r="Q402">
        <v>186</v>
      </c>
      <c r="R402">
        <v>25</v>
      </c>
      <c r="S402">
        <v>46</v>
      </c>
      <c r="T402" t="s">
        <v>73</v>
      </c>
    </row>
    <row r="403" spans="1:20" x14ac:dyDescent="0.25">
      <c r="A403">
        <v>22000400</v>
      </c>
      <c r="B403" t="s">
        <v>10</v>
      </c>
      <c r="C403" t="s">
        <v>9</v>
      </c>
      <c r="D403">
        <v>117</v>
      </c>
      <c r="E403">
        <v>97</v>
      </c>
      <c r="F403">
        <v>20</v>
      </c>
      <c r="G403">
        <v>4</v>
      </c>
      <c r="H403" s="1">
        <v>3.0324074074074073E-3</v>
      </c>
      <c r="I403">
        <v>2020</v>
      </c>
      <c r="J403" t="s">
        <v>59</v>
      </c>
      <c r="K403" s="2" t="str">
        <f>HYPERLINK("https://www.nba.com/stats/events?CFID=&amp;CFPARAMS=&amp;GameEventID=528&amp;GameID=0022000400&amp;Season=2020-21&amp;flag=1&amp;title=M.%20Morris%20Sr.%2024'%203PT%20%20(17%20PTS)%20(K.%20Leonard%203%20AST)", "M. Morris Sr. 24' 3PT  (17 PTS) (K. Leonard 3 AST)")</f>
        <v>M. Morris Sr. 24' 3PT  (17 PTS) (K. Leonard 3 AST)</v>
      </c>
      <c r="L403" s="2" t="str">
        <f>HYPERLINK("https://www.nba.com/game/...-vs-...-0022000400/play-by-play?watchFullGame=true", "LAC vs CHI - Q4 04:22.00")</f>
        <v>LAC vs CHI - Q4 04:22.00</v>
      </c>
      <c r="M403">
        <v>24.36</v>
      </c>
      <c r="N403">
        <v>25.71</v>
      </c>
      <c r="O403">
        <v>80.709999999999994</v>
      </c>
      <c r="P403">
        <v>-154</v>
      </c>
      <c r="Q403">
        <v>189</v>
      </c>
      <c r="R403">
        <v>25</v>
      </c>
      <c r="S403">
        <v>80</v>
      </c>
      <c r="T403" t="s">
        <v>73</v>
      </c>
    </row>
    <row r="404" spans="1:20" x14ac:dyDescent="0.25">
      <c r="A404">
        <v>22000002</v>
      </c>
      <c r="B404" t="s">
        <v>10</v>
      </c>
      <c r="C404" t="s">
        <v>9</v>
      </c>
      <c r="D404">
        <v>11</v>
      </c>
      <c r="E404">
        <v>5</v>
      </c>
      <c r="F404">
        <v>6</v>
      </c>
      <c r="G404">
        <v>1</v>
      </c>
      <c r="H404" s="1">
        <v>6.2152777777777779E-3</v>
      </c>
      <c r="I404">
        <v>2020</v>
      </c>
      <c r="J404" t="s">
        <v>59</v>
      </c>
      <c r="K404" s="2" t="str">
        <f>HYPERLINK("https://www.nba.com/stats/events?CFID=&amp;CFPARAMS=&amp;GameEventID=35&amp;GameID=0022000002&amp;Season=2020-21&amp;flag=1&amp;title=Ibaka%2025'%203PT%20%20(6%20PTS)%20(K.%20Leonard%201%20AST)", "S. Ibaka 25' 3PT  (6 PTS) (K. Leonard 1 AST)")</f>
        <v>S. Ibaka 25' 3PT  (6 PTS) (K. Leonard 1 AST)</v>
      </c>
      <c r="L404" s="2" t="str">
        <f>HYPERLINK("https://www.nba.com/game/...-vs-...-0022000002/play-by-play?watchFullGame=true", "LAC vs LAL - Q1 08:57.00")</f>
        <v>LAC vs LAL - Q1 08:57.00</v>
      </c>
      <c r="M404">
        <v>25.25</v>
      </c>
      <c r="N404">
        <v>25.84</v>
      </c>
      <c r="O404">
        <v>83.16</v>
      </c>
      <c r="P404">
        <v>-166</v>
      </c>
      <c r="Q404">
        <v>190</v>
      </c>
      <c r="R404">
        <v>25</v>
      </c>
      <c r="S404">
        <v>83</v>
      </c>
      <c r="T404" t="s">
        <v>73</v>
      </c>
    </row>
    <row r="405" spans="1:20" x14ac:dyDescent="0.25">
      <c r="A405">
        <v>22300873</v>
      </c>
      <c r="B405" t="s">
        <v>10</v>
      </c>
      <c r="C405" t="s">
        <v>9</v>
      </c>
      <c r="D405">
        <v>10</v>
      </c>
      <c r="E405">
        <v>23</v>
      </c>
      <c r="F405">
        <v>13</v>
      </c>
      <c r="G405">
        <v>1</v>
      </c>
      <c r="H405" s="1">
        <v>3.2175925925925926E-3</v>
      </c>
      <c r="I405">
        <v>2023</v>
      </c>
      <c r="J405" t="s">
        <v>59</v>
      </c>
      <c r="K405" s="2" t="str">
        <f>HYPERLINK("https://www.nba.com/stats/events?CFID=&amp;CFPARAMS=&amp;GameEventID=75&amp;GameID=0022300873&amp;Season=2023-24&amp;flag=1&amp;title=N.%20Powell%2024'%203PT%20running%20pullup%20(3%20PTS)%20(K.%20Leonard%201%20AST)", "N. Powell 24' 3PT running pullup (3 PTS) (K. Leonard 1 AST)")</f>
        <v>N. Powell 24' 3PT running pullup (3 PTS) (K. Leonard 1 AST)</v>
      </c>
      <c r="L405" s="2" t="str">
        <f>HYPERLINK("https://www.nba.com/game/...-vs-...-0022300873/play-by-play?watchFullGame=true", "LAC vs MIN - Q1 04:38.00")</f>
        <v>LAC vs MIN - Q1 04:38.00</v>
      </c>
      <c r="M405">
        <v>24.67</v>
      </c>
      <c r="N405">
        <v>25.05</v>
      </c>
      <c r="O405">
        <v>83.09</v>
      </c>
      <c r="P405">
        <v>-165</v>
      </c>
      <c r="Q405">
        <v>183</v>
      </c>
      <c r="R405">
        <v>25</v>
      </c>
      <c r="S405">
        <v>83</v>
      </c>
      <c r="T405" t="s">
        <v>73</v>
      </c>
    </row>
    <row r="406" spans="1:20" x14ac:dyDescent="0.25">
      <c r="A406">
        <v>21900603</v>
      </c>
      <c r="B406" t="s">
        <v>10</v>
      </c>
      <c r="C406" t="s">
        <v>61</v>
      </c>
      <c r="D406">
        <v>12</v>
      </c>
      <c r="E406">
        <v>10</v>
      </c>
      <c r="F406">
        <v>2</v>
      </c>
      <c r="G406">
        <v>1</v>
      </c>
      <c r="H406" s="1">
        <v>5.5555555555555558E-3</v>
      </c>
      <c r="I406">
        <v>2019</v>
      </c>
      <c r="J406" t="s">
        <v>59</v>
      </c>
      <c r="K406" s="2" t="str">
        <f>HYPERLINK("https://www.nba.com/stats/events?CFID=&amp;CFPARAMS=&amp;GameEventID=46&amp;GameID=0021900603&amp;Season=2019-20&amp;flag=1&amp;title=P.%20Beverley%2025'%203PT%20%20(6%20PTS)%20(K.%20Leonard%201%20AST)", "P. Beverley 25' 3PT  (6 PTS) (K. Leonard 1 AST)")</f>
        <v>P. Beverley 25' 3PT  (6 PTS) (K. Leonard 1 AST)</v>
      </c>
      <c r="L406" s="2" t="str">
        <f>HYPERLINK("https://www.nba.com/game/...-vs-...-0021900603/play-by-play?watchFullGame=true", "LAC vs CLE - Q1 08:00.00")</f>
        <v>LAC vs CLE - Q1 08:00.00</v>
      </c>
      <c r="M406">
        <v>25.07</v>
      </c>
      <c r="N406">
        <v>25.67</v>
      </c>
      <c r="O406">
        <v>18.309999999999999</v>
      </c>
      <c r="P406">
        <v>158</v>
      </c>
      <c r="Q406">
        <v>189</v>
      </c>
      <c r="R406">
        <v>25</v>
      </c>
      <c r="S406">
        <v>18</v>
      </c>
      <c r="T406" t="s">
        <v>73</v>
      </c>
    </row>
    <row r="407" spans="1:20" x14ac:dyDescent="0.25">
      <c r="A407">
        <v>22000605</v>
      </c>
      <c r="B407" t="s">
        <v>10</v>
      </c>
      <c r="C407" t="s">
        <v>9</v>
      </c>
      <c r="D407">
        <v>101</v>
      </c>
      <c r="E407">
        <v>90</v>
      </c>
      <c r="F407">
        <v>11</v>
      </c>
      <c r="G407">
        <v>4</v>
      </c>
      <c r="H407" s="1">
        <v>4.1203703703703706E-3</v>
      </c>
      <c r="I407">
        <v>2020</v>
      </c>
      <c r="J407" t="s">
        <v>59</v>
      </c>
      <c r="K407" s="2" t="str">
        <f>HYPERLINK("https://www.nba.com/stats/events?CFID=&amp;CFPARAMS=&amp;GameEventID=485&amp;GameID=0022000605&amp;Season=2020-21&amp;flag=1&amp;title=L.%20Williams%2024'%203PT%20%20(14%20PTS)%20(K.%20Leonard%207%20AST)", "L. Williams 24' 3PT  (14 PTS) (K. Leonard 7 AST)")</f>
        <v>L. Williams 24' 3PT  (14 PTS) (K. Leonard 7 AST)</v>
      </c>
      <c r="L407" s="2" t="str">
        <f>HYPERLINK("https://www.nba.com/game/...-vs-...-0022000605/play-by-play?watchFullGame=true", "LAC vs DAL - Q4 05:56.00")</f>
        <v>LAC vs DAL - Q4 05:56.00</v>
      </c>
      <c r="M407">
        <v>24.93</v>
      </c>
      <c r="N407">
        <v>25.84</v>
      </c>
      <c r="O407">
        <v>82.18</v>
      </c>
      <c r="P407">
        <v>-161</v>
      </c>
      <c r="Q407">
        <v>190</v>
      </c>
      <c r="R407">
        <v>25</v>
      </c>
      <c r="S407">
        <v>82</v>
      </c>
      <c r="T407" t="s">
        <v>73</v>
      </c>
    </row>
    <row r="408" spans="1:20" x14ac:dyDescent="0.25">
      <c r="A408">
        <v>41900233</v>
      </c>
      <c r="B408" t="s">
        <v>10</v>
      </c>
      <c r="C408" t="s">
        <v>61</v>
      </c>
      <c r="D408">
        <v>5</v>
      </c>
      <c r="E408">
        <v>4</v>
      </c>
      <c r="F408">
        <v>1</v>
      </c>
      <c r="G408">
        <v>1</v>
      </c>
      <c r="H408" s="1">
        <v>7.4305555555555557E-3</v>
      </c>
      <c r="I408" t="s">
        <v>62</v>
      </c>
      <c r="J408" t="s">
        <v>59</v>
      </c>
      <c r="K408" s="2" t="str">
        <f>HYPERLINK("https://www.nba.com/stats/events?CFID=&amp;CFPARAMS=&amp;GameEventID=15&amp;GameID=0041900233&amp;Season=2019-20&amp;flag=1&amp;title=P.%20Beverley%2026'%203PT%20%20(3%20PTS)%20(K.%20Leonard%201%20AST)", "P. Beverley 26' 3PT  (3 PTS) (K. Leonard 1 AST)")</f>
        <v>P. Beverley 26' 3PT  (3 PTS) (K. Leonard 1 AST)</v>
      </c>
      <c r="L408" s="2" t="str">
        <f>HYPERLINK("https://www.nba.com/game/...-vs-...-0041900233/play-by-play?watchFullGame=true", "LAC vs DEN - Q1 10:42.00")</f>
        <v>LAC vs DEN - Q1 10:42.00</v>
      </c>
      <c r="M408">
        <v>25.54</v>
      </c>
      <c r="N408">
        <v>25.84</v>
      </c>
      <c r="O408">
        <v>17.23</v>
      </c>
      <c r="P408">
        <v>164</v>
      </c>
      <c r="Q408">
        <v>190</v>
      </c>
      <c r="R408">
        <v>25</v>
      </c>
      <c r="S408">
        <v>17</v>
      </c>
      <c r="T408" t="s">
        <v>73</v>
      </c>
    </row>
    <row r="409" spans="1:20" x14ac:dyDescent="0.25">
      <c r="A409">
        <v>22201096</v>
      </c>
      <c r="B409" t="s">
        <v>10</v>
      </c>
      <c r="C409" t="s">
        <v>9</v>
      </c>
      <c r="D409">
        <v>101</v>
      </c>
      <c r="E409">
        <v>85</v>
      </c>
      <c r="F409">
        <v>16</v>
      </c>
      <c r="G409">
        <v>4</v>
      </c>
      <c r="H409" s="1">
        <v>6.6435185185185182E-3</v>
      </c>
      <c r="I409">
        <v>2022</v>
      </c>
      <c r="J409" t="s">
        <v>59</v>
      </c>
      <c r="K409" s="2" t="str">
        <f>HYPERLINK("https://www.nba.com/stats/events?CFID=&amp;CFPARAMS=&amp;GameEventID=501&amp;GameID=0022201096&amp;Season=2022-23&amp;flag=1&amp;title=B.%20Hyland%2026'%203PT%20%20(14%20PTS)%20(K.%20Leonard%206%20AST)", "B. Hyland 26' 3PT  (14 PTS) (K. Leonard 6 AST)")</f>
        <v>B. Hyland 26' 3PT  (14 PTS) (K. Leonard 6 AST)</v>
      </c>
      <c r="L409" s="2" t="str">
        <f>HYPERLINK("https://www.nba.com/game/...-vs-...-0022201096/play-by-play?watchFullGame=true", "LAC vs OKC - Q4 09:34.00")</f>
        <v>LAC vs OKC - Q4 09:34.00</v>
      </c>
      <c r="M409">
        <v>26.61</v>
      </c>
      <c r="N409">
        <v>25.67</v>
      </c>
      <c r="O409">
        <v>12.5</v>
      </c>
      <c r="P409">
        <v>188</v>
      </c>
      <c r="Q409">
        <v>189</v>
      </c>
      <c r="R409">
        <v>25</v>
      </c>
      <c r="S409">
        <v>12</v>
      </c>
      <c r="T409" t="s">
        <v>73</v>
      </c>
    </row>
    <row r="410" spans="1:20" x14ac:dyDescent="0.25">
      <c r="A410">
        <v>22301017</v>
      </c>
      <c r="B410" t="s">
        <v>4</v>
      </c>
      <c r="C410" t="s">
        <v>9</v>
      </c>
      <c r="D410">
        <v>79</v>
      </c>
      <c r="E410">
        <v>55</v>
      </c>
      <c r="F410">
        <v>24</v>
      </c>
      <c r="G410">
        <v>3</v>
      </c>
      <c r="H410" s="1">
        <v>6.5972222222222222E-3</v>
      </c>
      <c r="I410">
        <v>2023</v>
      </c>
      <c r="J410" t="s">
        <v>59</v>
      </c>
      <c r="K410" s="2" t="str">
        <f>HYPERLINK("https://www.nba.com/stats/events?CFID=&amp;CFPARAMS=&amp;GameEventID=360&amp;GameID=0022301017&amp;Season=2023-24&amp;flag=1&amp;title=P.%20George%2019'%20Jump%20Shot%20(25%20PTS)%20(K.%20Leonard%203%20AST)", "P. George 19' Jump Shot (25 PTS) (K. Leonard 3 AST)")</f>
        <v>P. George 19' Jump Shot (25 PTS) (K. Leonard 3 AST)</v>
      </c>
      <c r="L410" s="2" t="str">
        <f>HYPERLINK("https://www.nba.com/game/...-vs-...-0022301017/play-by-play?watchFullGame=true", "LAC vs POR - Q3 09:30.00")</f>
        <v>LAC vs POR - Q3 09:30.00</v>
      </c>
      <c r="M410">
        <v>19.22</v>
      </c>
      <c r="N410">
        <v>25.57</v>
      </c>
      <c r="O410">
        <v>41.91</v>
      </c>
      <c r="P410">
        <v>40</v>
      </c>
      <c r="Q410">
        <v>188</v>
      </c>
      <c r="R410">
        <v>25</v>
      </c>
      <c r="S410">
        <v>41</v>
      </c>
      <c r="T410" t="s">
        <v>73</v>
      </c>
    </row>
    <row r="411" spans="1:20" x14ac:dyDescent="0.25">
      <c r="A411">
        <v>21900626</v>
      </c>
      <c r="B411" t="s">
        <v>10</v>
      </c>
      <c r="C411" t="s">
        <v>61</v>
      </c>
      <c r="D411">
        <v>3</v>
      </c>
      <c r="E411">
        <v>0</v>
      </c>
      <c r="F411">
        <v>3</v>
      </c>
      <c r="G411">
        <v>1</v>
      </c>
      <c r="H411" s="1">
        <v>8.1597222222222227E-3</v>
      </c>
      <c r="I411">
        <v>2019</v>
      </c>
      <c r="J411" t="s">
        <v>59</v>
      </c>
      <c r="K411" s="2" t="str">
        <f>HYPERLINK("https://www.nba.com/stats/events?CFID=&amp;CFPARAMS=&amp;GameEventID=8&amp;GameID=0021900626&amp;Season=2019-20&amp;flag=1&amp;title=L.%20Shamet%2025'%203PT%20%20(3%20PTS)%20(K.%20Leonard%201%20AST)", "L. Shamet 25' 3PT  (3 PTS) (K. Leonard 1 AST)")</f>
        <v>L. Shamet 25' 3PT  (3 PTS) (K. Leonard 1 AST)</v>
      </c>
      <c r="L411" s="2" t="str">
        <f>HYPERLINK("https://www.nba.com/game/...-vs-...-0021900626/play-by-play?watchFullGame=true", "LAC vs NOP - Q1 11:45.00")</f>
        <v>LAC vs NOP - Q1 11:45.00</v>
      </c>
      <c r="M411">
        <v>24.62</v>
      </c>
      <c r="N411">
        <v>25.57</v>
      </c>
      <c r="O411">
        <v>80.459999999999994</v>
      </c>
      <c r="P411">
        <v>-152</v>
      </c>
      <c r="Q411">
        <v>188</v>
      </c>
      <c r="R411">
        <v>25</v>
      </c>
      <c r="S411">
        <v>80</v>
      </c>
      <c r="T411" t="s">
        <v>73</v>
      </c>
    </row>
    <row r="412" spans="1:20" x14ac:dyDescent="0.25">
      <c r="A412">
        <v>22200795</v>
      </c>
      <c r="B412" t="s">
        <v>10</v>
      </c>
      <c r="C412" t="s">
        <v>9</v>
      </c>
      <c r="D412">
        <v>71</v>
      </c>
      <c r="E412">
        <v>60</v>
      </c>
      <c r="F412">
        <v>11</v>
      </c>
      <c r="G412">
        <v>3</v>
      </c>
      <c r="H412" s="1">
        <v>6.2847222222222219E-3</v>
      </c>
      <c r="I412">
        <v>2022</v>
      </c>
      <c r="J412" t="s">
        <v>59</v>
      </c>
      <c r="K412" s="2" t="str">
        <f>HYPERLINK("https://www.nba.com/stats/events?CFID=&amp;CFPARAMS=&amp;GameEventID=331&amp;GameID=0022200795&amp;Season=2022-23&amp;flag=1&amp;title=M.%20Morris%20Sr.%2025'%203PT%20%20(14%20PTS)%20(K.%20Leonard%202%20AST)", "M. Morris Sr. 25' 3PT  (14 PTS) (K. Leonard 2 AST)")</f>
        <v>M. Morris Sr. 25' 3PT  (14 PTS) (K. Leonard 2 AST)</v>
      </c>
      <c r="L412" s="2" t="str">
        <f>HYPERLINK("https://www.nba.com/game/...-vs-...-0022200795/play-by-play?watchFullGame=true", "LAC vs NYK - Q3 09:03.00")</f>
        <v>LAC vs NYK - Q3 09:03.00</v>
      </c>
      <c r="M412">
        <v>25.94</v>
      </c>
      <c r="N412">
        <v>25.05</v>
      </c>
      <c r="O412">
        <v>86.76</v>
      </c>
      <c r="P412">
        <v>-184</v>
      </c>
      <c r="Q412">
        <v>183</v>
      </c>
      <c r="R412">
        <v>25</v>
      </c>
      <c r="S412">
        <v>86</v>
      </c>
      <c r="T412" t="s">
        <v>73</v>
      </c>
    </row>
    <row r="413" spans="1:20" x14ac:dyDescent="0.25">
      <c r="A413">
        <v>22300944</v>
      </c>
      <c r="B413" t="s">
        <v>10</v>
      </c>
      <c r="C413" t="s">
        <v>9</v>
      </c>
      <c r="D413">
        <v>8</v>
      </c>
      <c r="E413">
        <v>2</v>
      </c>
      <c r="F413">
        <v>6</v>
      </c>
      <c r="G413">
        <v>1</v>
      </c>
      <c r="H413" s="1">
        <v>6.2731481481481484E-3</v>
      </c>
      <c r="I413">
        <v>2023</v>
      </c>
      <c r="J413" t="s">
        <v>59</v>
      </c>
      <c r="K413" s="2" t="str">
        <f>HYPERLINK("https://www.nba.com/stats/events?CFID=&amp;CFPARAMS=&amp;GameEventID=28&amp;GameID=0022300944&amp;Season=2023-24&amp;flag=1&amp;title=J.%20Harden%2026'%203PT%20%20(3%20PTS)%20(K.%20Leonard%201%20AST)", "J. Harden 26' 3PT  (3 PTS) (K. Leonard 1 AST)")</f>
        <v>J. Harden 26' 3PT  (3 PTS) (K. Leonard 1 AST)</v>
      </c>
      <c r="L413" s="2" t="str">
        <f>HYPERLINK("https://www.nba.com/game/...-vs-...-0022300944/play-by-play?watchFullGame=true", "LAC vs MIN - Q1 09:02.00")</f>
        <v>LAC vs MIN - Q1 09:02.00</v>
      </c>
      <c r="M413">
        <v>26.62</v>
      </c>
      <c r="N413">
        <v>25.8</v>
      </c>
      <c r="O413">
        <v>12.75</v>
      </c>
      <c r="P413">
        <v>186</v>
      </c>
      <c r="Q413">
        <v>190</v>
      </c>
      <c r="R413">
        <v>25</v>
      </c>
      <c r="S413">
        <v>12</v>
      </c>
      <c r="T413" t="s">
        <v>73</v>
      </c>
    </row>
    <row r="414" spans="1:20" x14ac:dyDescent="0.25">
      <c r="A414">
        <v>22000756</v>
      </c>
      <c r="B414" t="s">
        <v>10</v>
      </c>
      <c r="C414" t="s">
        <v>9</v>
      </c>
      <c r="D414">
        <v>75</v>
      </c>
      <c r="E414">
        <v>51</v>
      </c>
      <c r="F414">
        <v>24</v>
      </c>
      <c r="G414">
        <v>3</v>
      </c>
      <c r="H414" s="1">
        <v>7.407407407407407E-4</v>
      </c>
      <c r="I414">
        <v>2020</v>
      </c>
      <c r="J414" t="s">
        <v>59</v>
      </c>
      <c r="K414" s="2" t="str">
        <f>HYPERLINK("https://www.nba.com/stats/events?CFID=&amp;CFPARAMS=&amp;GameEventID=475&amp;GameID=0022000756&amp;Season=2020-21&amp;flag=1&amp;title=L.%20Kennard%2025'%203PT%20%20(3%20PTS)%20(K.%20Leonard%205%20AST)", "L. Kennard 25' 3PT  (3 PTS) (K. Leonard 5 AST)")</f>
        <v>L. Kennard 25' 3PT  (3 PTS) (K. Leonard 5 AST)</v>
      </c>
      <c r="L414" s="2" t="str">
        <f>HYPERLINK("https://www.nba.com/game/...-vs-...-0022000756/play-by-play?watchFullGame=true", "LAC vs LAL - Q3 01:04.00")</f>
        <v>LAC vs LAL - Q3 01:04.00</v>
      </c>
      <c r="M414">
        <v>25.92</v>
      </c>
      <c r="N414">
        <v>25.18</v>
      </c>
      <c r="O414">
        <v>13.55</v>
      </c>
      <c r="P414">
        <v>182</v>
      </c>
      <c r="Q414">
        <v>184</v>
      </c>
      <c r="R414">
        <v>25</v>
      </c>
      <c r="S414">
        <v>13</v>
      </c>
      <c r="T414" t="s">
        <v>73</v>
      </c>
    </row>
    <row r="415" spans="1:20" x14ac:dyDescent="0.25">
      <c r="A415">
        <v>42000174</v>
      </c>
      <c r="B415" t="s">
        <v>10</v>
      </c>
      <c r="C415" t="s">
        <v>9</v>
      </c>
      <c r="D415">
        <v>77</v>
      </c>
      <c r="E415">
        <v>51</v>
      </c>
      <c r="F415">
        <v>26</v>
      </c>
      <c r="G415">
        <v>3</v>
      </c>
      <c r="H415" s="1">
        <v>3.5879629629629629E-3</v>
      </c>
      <c r="I415" t="s">
        <v>66</v>
      </c>
      <c r="J415" t="s">
        <v>59</v>
      </c>
      <c r="K415" s="2" t="str">
        <f>HYPERLINK("https://www.nba.com/stats/events?CFID=&amp;CFPARAMS=&amp;GameEventID=426&amp;GameID=0042000174&amp;Season=2020-21&amp;flag=1&amp;title=M.%20Morris%20Sr.%2024'%203PT%20%20(7%20PTS)%20(K.%20Leonard%203%20AST)", "M. Morris Sr. 24' 3PT  (7 PTS) (K. Leonard 3 AST)")</f>
        <v>M. Morris Sr. 24' 3PT  (7 PTS) (K. Leonard 3 AST)</v>
      </c>
      <c r="L415" s="2" t="str">
        <f>HYPERLINK("https://www.nba.com/game/...-vs-...-0042000174/play-by-play?watchFullGame=true", "LAC vs DAL - Q3 05:10.00")</f>
        <v>LAC vs DAL - Q3 05:10.00</v>
      </c>
      <c r="M415">
        <v>24.58</v>
      </c>
      <c r="N415">
        <v>25.57</v>
      </c>
      <c r="O415">
        <v>81.69</v>
      </c>
      <c r="P415">
        <v>25</v>
      </c>
      <c r="Q415">
        <v>81</v>
      </c>
      <c r="R415">
        <v>25</v>
      </c>
      <c r="S415">
        <v>81</v>
      </c>
      <c r="T415" t="s">
        <v>73</v>
      </c>
    </row>
    <row r="416" spans="1:20" x14ac:dyDescent="0.25">
      <c r="A416">
        <v>22300537</v>
      </c>
      <c r="B416" t="s">
        <v>10</v>
      </c>
      <c r="C416" t="s">
        <v>9</v>
      </c>
      <c r="D416">
        <v>19</v>
      </c>
      <c r="E416">
        <v>22</v>
      </c>
      <c r="F416">
        <v>3</v>
      </c>
      <c r="G416">
        <v>1</v>
      </c>
      <c r="H416" s="1">
        <v>1.4930555555555556E-3</v>
      </c>
      <c r="I416">
        <v>2023</v>
      </c>
      <c r="J416" t="s">
        <v>59</v>
      </c>
      <c r="K416" s="2" t="str">
        <f>HYPERLINK("https://www.nba.com/stats/events?CFID=&amp;CFPARAMS=&amp;GameEventID=131&amp;GameID=0022300537&amp;Season=2023-24&amp;flag=1&amp;title=R.%20Westbrook%2025'%203PT%20%20(3%20PTS)%20(K.%20Leonard%201%20AST)", "R. Westbrook 25' 3PT  (3 PTS) (K. Leonard 1 AST)")</f>
        <v>R. Westbrook 25' 3PT  (3 PTS) (K. Leonard 1 AST)</v>
      </c>
      <c r="L416" s="2" t="str">
        <f>HYPERLINK("https://www.nba.com/game/...-vs-...-0022300537/play-by-play?watchFullGame=true", "LAC vs MEM - Q1 02:09.00")</f>
        <v>LAC vs MEM - Q1 02:09.00</v>
      </c>
      <c r="M416">
        <v>25.54</v>
      </c>
      <c r="N416">
        <v>25.84</v>
      </c>
      <c r="O416">
        <v>84.07</v>
      </c>
      <c r="P416">
        <v>-170</v>
      </c>
      <c r="Q416">
        <v>190</v>
      </c>
      <c r="R416">
        <v>25</v>
      </c>
      <c r="S416">
        <v>84</v>
      </c>
      <c r="T416" t="s">
        <v>73</v>
      </c>
    </row>
    <row r="417" spans="1:20" x14ac:dyDescent="0.25">
      <c r="A417">
        <v>41900234</v>
      </c>
      <c r="B417" t="s">
        <v>4</v>
      </c>
      <c r="C417" t="s">
        <v>61</v>
      </c>
      <c r="D417">
        <v>9</v>
      </c>
      <c r="E417">
        <v>3</v>
      </c>
      <c r="F417">
        <v>6</v>
      </c>
      <c r="G417">
        <v>1</v>
      </c>
      <c r="H417" s="1">
        <v>5.1967592592592595E-3</v>
      </c>
      <c r="I417" t="s">
        <v>62</v>
      </c>
      <c r="J417" t="s">
        <v>59</v>
      </c>
      <c r="K417" s="2" t="str">
        <f>HYPERLINK("https://www.nba.com/stats/events?CFID=&amp;CFPARAMS=&amp;GameEventID=61&amp;GameID=0041900234&amp;Season=2019-20&amp;flag=1&amp;title=M.%20Morris%20Sr.%2021'%20jumpshot%20(5%20PTS)%20(K.%20Leonard%202%20AST)", "M. Morris Sr. 21' jumpshot (5 PTS) (K. Leonard 2 AST)")</f>
        <v>M. Morris Sr. 21' jumpshot (5 PTS) (K. Leonard 2 AST)</v>
      </c>
      <c r="L417" s="2" t="str">
        <f>HYPERLINK("https://www.nba.com/game/...-vs-...-0041900234/play-by-play?watchFullGame=true", "LAC vs DEN - Q1 07:29.00")</f>
        <v>LAC vs DEN - Q1 07:29.00</v>
      </c>
      <c r="M417">
        <v>20.67</v>
      </c>
      <c r="N417">
        <v>25.97</v>
      </c>
      <c r="O417">
        <v>37.57</v>
      </c>
      <c r="P417">
        <v>62</v>
      </c>
      <c r="Q417">
        <v>192</v>
      </c>
      <c r="R417">
        <v>25</v>
      </c>
      <c r="S417">
        <v>37</v>
      </c>
      <c r="T417" t="s">
        <v>73</v>
      </c>
    </row>
    <row r="418" spans="1:20" x14ac:dyDescent="0.25">
      <c r="A418">
        <v>22300458</v>
      </c>
      <c r="B418" t="s">
        <v>4</v>
      </c>
      <c r="C418" t="s">
        <v>9</v>
      </c>
      <c r="D418">
        <v>103</v>
      </c>
      <c r="E418">
        <v>90</v>
      </c>
      <c r="F418">
        <v>13</v>
      </c>
      <c r="G418">
        <v>4</v>
      </c>
      <c r="H418" s="1">
        <v>6.2847222222222219E-3</v>
      </c>
      <c r="I418">
        <v>2023</v>
      </c>
      <c r="J418" t="s">
        <v>59</v>
      </c>
      <c r="K418" s="2" t="str">
        <f>HYPERLINK("https://www.nba.com/stats/events?CFID=&amp;CFPARAMS=&amp;GameEventID=503&amp;GameID=0022300458&amp;Season=2023-24&amp;flag=1&amp;title=N.%20Powell%2020'%20pullup%20Jump%20Shot%20(18%20PTS)%20(K.%20Leonard%205%20AST)", "N. Powell 20' pullup Jump Shot (18 PTS) (K. Leonard 5 AST)")</f>
        <v>N. Powell 20' pullup Jump Shot (18 PTS) (K. Leonard 5 AST)</v>
      </c>
      <c r="L418" s="2" t="str">
        <f>HYPERLINK("https://www.nba.com/game/...-vs-...-0022300458/play-by-play?watchFullGame=true", "LAC vs MIA - Q4 09:03.00")</f>
        <v>LAC vs MIA - Q4 09:03.00</v>
      </c>
      <c r="M418">
        <v>20.09</v>
      </c>
      <c r="N418">
        <v>26.72</v>
      </c>
      <c r="O418">
        <v>55.88</v>
      </c>
      <c r="P418">
        <v>-29</v>
      </c>
      <c r="Q418">
        <v>199</v>
      </c>
      <c r="R418">
        <v>26</v>
      </c>
      <c r="S418">
        <v>55</v>
      </c>
      <c r="T418" t="s">
        <v>73</v>
      </c>
    </row>
    <row r="419" spans="1:20" x14ac:dyDescent="0.25">
      <c r="A419">
        <v>22300964</v>
      </c>
      <c r="B419" t="s">
        <v>10</v>
      </c>
      <c r="C419" t="s">
        <v>9</v>
      </c>
      <c r="D419">
        <v>71</v>
      </c>
      <c r="E419">
        <v>71</v>
      </c>
      <c r="F419">
        <v>0</v>
      </c>
      <c r="G419">
        <v>3</v>
      </c>
      <c r="H419" s="1">
        <v>2.0601851851851853E-3</v>
      </c>
      <c r="I419">
        <v>2023</v>
      </c>
      <c r="J419" t="s">
        <v>59</v>
      </c>
      <c r="K419" s="2" t="str">
        <f>HYPERLINK("https://www.nba.com/stats/events?CFID=&amp;CFPARAMS=&amp;GameEventID=423&amp;GameID=0022300964&amp;Season=2023-24&amp;flag=1&amp;title=N.%20Powell%2025'%203PT%20%20(6%20PTS)%20(K.%20Leonard%202%20AST)", "N. Powell 25' 3PT  (6 PTS) (K. Leonard 2 AST)")</f>
        <v>N. Powell 25' 3PT  (6 PTS) (K. Leonard 2 AST)</v>
      </c>
      <c r="L419" s="2" t="str">
        <f>HYPERLINK("https://www.nba.com/game/...-vs-...-0022300964/play-by-play?watchFullGame=true", "LAC vs NOP - Q3 02:58.00")</f>
        <v>LAC vs NOP - Q3 02:58.00</v>
      </c>
      <c r="M419">
        <v>25.54</v>
      </c>
      <c r="N419">
        <v>26.49</v>
      </c>
      <c r="O419">
        <v>17.399999999999999</v>
      </c>
      <c r="P419">
        <v>163</v>
      </c>
      <c r="Q419">
        <v>197</v>
      </c>
      <c r="R419">
        <v>26</v>
      </c>
      <c r="S419">
        <v>17</v>
      </c>
      <c r="T419" t="s">
        <v>73</v>
      </c>
    </row>
    <row r="420" spans="1:20" x14ac:dyDescent="0.25">
      <c r="A420">
        <v>22200239</v>
      </c>
      <c r="B420" t="s">
        <v>10</v>
      </c>
      <c r="C420" t="s">
        <v>9</v>
      </c>
      <c r="D420">
        <v>106</v>
      </c>
      <c r="E420">
        <v>76</v>
      </c>
      <c r="F420">
        <v>30</v>
      </c>
      <c r="G420">
        <v>4</v>
      </c>
      <c r="H420" s="1">
        <v>5.9606481481481481E-3</v>
      </c>
      <c r="I420">
        <v>2022</v>
      </c>
      <c r="J420" t="s">
        <v>59</v>
      </c>
      <c r="K420" s="2" t="str">
        <f>HYPERLINK("https://www.nba.com/stats/events?CFID=&amp;CFPARAMS=&amp;GameEventID=489&amp;GameID=0022200239&amp;Season=2022-23&amp;flag=1&amp;title=N.%20Powell%2025'%203PT%20%20(22%20PTS)%20(K.%20Leonard%204%20AST)", "N. Powell 25' 3PT  (22 PTS) (K. Leonard 4 AST)")</f>
        <v>N. Powell 25' 3PT  (22 PTS) (K. Leonard 4 AST)</v>
      </c>
      <c r="L420" s="2" t="str">
        <f>HYPERLINK("https://www.nba.com/game/...-vs-...-0022200239/play-by-play?watchFullGame=true", "LAC vs SAS - Q4 08:35.00")</f>
        <v>LAC vs SAS - Q4 08:35.00</v>
      </c>
      <c r="M420">
        <v>25.49</v>
      </c>
      <c r="N420">
        <v>26.86</v>
      </c>
      <c r="O420">
        <v>18.38</v>
      </c>
      <c r="P420">
        <v>158</v>
      </c>
      <c r="Q420">
        <v>200</v>
      </c>
      <c r="R420">
        <v>26</v>
      </c>
      <c r="S420">
        <v>18</v>
      </c>
      <c r="T420" t="s">
        <v>73</v>
      </c>
    </row>
    <row r="421" spans="1:20" x14ac:dyDescent="0.25">
      <c r="A421">
        <v>22300618</v>
      </c>
      <c r="B421" t="s">
        <v>10</v>
      </c>
      <c r="C421" t="s">
        <v>9</v>
      </c>
      <c r="D421">
        <v>106</v>
      </c>
      <c r="E421">
        <v>97</v>
      </c>
      <c r="F421">
        <v>9</v>
      </c>
      <c r="G421">
        <v>3</v>
      </c>
      <c r="H421" s="1">
        <v>2.0833333333333333E-5</v>
      </c>
      <c r="I421">
        <v>2023</v>
      </c>
      <c r="J421" t="s">
        <v>59</v>
      </c>
      <c r="K421" s="2" t="str">
        <f>HYPERLINK("https://www.nba.com/stats/events?CFID=&amp;CFPARAMS=&amp;GameEventID=455&amp;GameID=0022300618&amp;Season=2023-24&amp;flag=1&amp;title=A.%20Coffey%2026'%203PT%20%20(6%20PTS)%20(K.%20Leonard%206%20AST)", "A. Coffey 26' 3PT  (6 PTS) (K. Leonard 6 AST)")</f>
        <v>A. Coffey 26' 3PT  (6 PTS) (K. Leonard 6 AST)</v>
      </c>
      <c r="L421" s="2" t="str">
        <f>HYPERLINK("https://www.nba.com/game/...-vs-...-0022300618/play-by-play?watchFullGame=true", "LAC vs LAL - Q3 00:01.80")</f>
        <v>LAC vs LAL - Q3 00:01.80</v>
      </c>
      <c r="M421">
        <v>26.62</v>
      </c>
      <c r="N421">
        <v>26.07</v>
      </c>
      <c r="O421">
        <v>13.24</v>
      </c>
      <c r="P421">
        <v>184</v>
      </c>
      <c r="Q421">
        <v>193</v>
      </c>
      <c r="R421">
        <v>26</v>
      </c>
      <c r="S421">
        <v>13</v>
      </c>
      <c r="T421" t="s">
        <v>73</v>
      </c>
    </row>
    <row r="422" spans="1:20" x14ac:dyDescent="0.25">
      <c r="A422">
        <v>22300865</v>
      </c>
      <c r="B422" t="s">
        <v>10</v>
      </c>
      <c r="C422" t="s">
        <v>9</v>
      </c>
      <c r="D422">
        <v>86</v>
      </c>
      <c r="E422">
        <v>67</v>
      </c>
      <c r="F422">
        <v>19</v>
      </c>
      <c r="G422">
        <v>3</v>
      </c>
      <c r="H422" s="1">
        <v>6.099537037037037E-3</v>
      </c>
      <c r="I422">
        <v>2023</v>
      </c>
      <c r="J422" t="s">
        <v>59</v>
      </c>
      <c r="K422" s="2" t="str">
        <f>HYPERLINK("https://www.nba.com/stats/events?CFID=&amp;CFPARAMS=&amp;GameEventID=364&amp;GameID=0022300865&amp;Season=2023-24&amp;flag=1&amp;title=J.%20Harden%2027'%203PT%20%20(28%20PTS)%20(K.%20Leonard%203%20AST)", "J. Harden 27' 3PT  (28 PTS) (K. Leonard 3 AST)")</f>
        <v>J. Harden 27' 3PT  (28 PTS) (K. Leonard 3 AST)</v>
      </c>
      <c r="L422" s="2" t="str">
        <f>HYPERLINK("https://www.nba.com/game/...-vs-...-0022300865/play-by-play?watchFullGame=true", "LAC vs WAS - Q3 08:47.00")</f>
        <v>LAC vs WAS - Q3 08:47.00</v>
      </c>
      <c r="M422">
        <v>27.92</v>
      </c>
      <c r="N422">
        <v>26.33</v>
      </c>
      <c r="O422">
        <v>10.050000000000001</v>
      </c>
      <c r="P422">
        <v>200</v>
      </c>
      <c r="Q422">
        <v>195</v>
      </c>
      <c r="R422">
        <v>26</v>
      </c>
      <c r="S422">
        <v>10</v>
      </c>
      <c r="T422" t="s">
        <v>73</v>
      </c>
    </row>
    <row r="423" spans="1:20" x14ac:dyDescent="0.25">
      <c r="A423">
        <v>22300917</v>
      </c>
      <c r="B423" t="s">
        <v>10</v>
      </c>
      <c r="C423" t="s">
        <v>9</v>
      </c>
      <c r="D423">
        <v>46</v>
      </c>
      <c r="E423">
        <v>54</v>
      </c>
      <c r="F423">
        <v>8</v>
      </c>
      <c r="G423">
        <v>2</v>
      </c>
      <c r="H423" s="1">
        <v>5.0925925925925929E-5</v>
      </c>
      <c r="I423">
        <v>2023</v>
      </c>
      <c r="J423" t="s">
        <v>59</v>
      </c>
      <c r="K423" s="2" t="str">
        <f>HYPERLINK("https://www.nba.com/stats/events?CFID=&amp;CFPARAMS=&amp;GameEventID=317&amp;GameID=0022300917&amp;Season=2023-24&amp;flag=1&amp;title=P.%20George%2025'%203PT%20%20(11%20PTS)%20(K.%20Leonard%201%20AST)", "P. George 25' 3PT  (11 PTS) (K. Leonard 1 AST)")</f>
        <v>P. George 25' 3PT  (11 PTS) (K. Leonard 1 AST)</v>
      </c>
      <c r="L423" s="2" t="str">
        <f>HYPERLINK("https://www.nba.com/game/...-vs-...-0022300917/play-by-play?watchFullGame=true", "LAC vs CHI - Q2 00:04.40")</f>
        <v>LAC vs CHI - Q2 00:04.40</v>
      </c>
      <c r="M423">
        <v>25.95</v>
      </c>
      <c r="N423">
        <v>26.07</v>
      </c>
      <c r="O423">
        <v>84.8</v>
      </c>
      <c r="P423">
        <v>-174</v>
      </c>
      <c r="Q423">
        <v>193</v>
      </c>
      <c r="R423">
        <v>26</v>
      </c>
      <c r="S423">
        <v>84</v>
      </c>
      <c r="T423" t="s">
        <v>73</v>
      </c>
    </row>
    <row r="424" spans="1:20" x14ac:dyDescent="0.25">
      <c r="A424">
        <v>22301064</v>
      </c>
      <c r="B424" t="s">
        <v>10</v>
      </c>
      <c r="C424" t="s">
        <v>9</v>
      </c>
      <c r="D424">
        <v>3</v>
      </c>
      <c r="E424">
        <v>2</v>
      </c>
      <c r="F424">
        <v>1</v>
      </c>
      <c r="G424">
        <v>1</v>
      </c>
      <c r="H424" s="1">
        <v>7.905092592592592E-3</v>
      </c>
      <c r="I424">
        <v>2023</v>
      </c>
      <c r="J424" t="s">
        <v>59</v>
      </c>
      <c r="K424" s="2" t="str">
        <f>HYPERLINK("https://www.nba.com/stats/events?CFID=&amp;CFPARAMS=&amp;GameEventID=9&amp;GameID=0022301064&amp;Season=2023-24&amp;flag=1&amp;title=T.%20Mann%2025'%203PT%20%20(3%20PTS)%20(K.%20Leonard%201%20AST)", "T. Mann 25' 3PT  (3 PTS) (K. Leonard 1 AST)")</f>
        <v>T. Mann 25' 3PT  (3 PTS) (K. Leonard 1 AST)</v>
      </c>
      <c r="L424" s="2" t="str">
        <f>HYPERLINK("https://www.nba.com/game/...-vs-...-0022301064/play-by-play?watchFullGame=true", "LAC vs ORL - Q1 11:23.00")</f>
        <v>LAC vs ORL - Q1 11:23.00</v>
      </c>
      <c r="M424">
        <v>25.93</v>
      </c>
      <c r="N424">
        <v>26.49</v>
      </c>
      <c r="O424">
        <v>16.18</v>
      </c>
      <c r="P424">
        <v>169</v>
      </c>
      <c r="Q424">
        <v>197</v>
      </c>
      <c r="R424">
        <v>26</v>
      </c>
      <c r="S424">
        <v>16</v>
      </c>
      <c r="T424" t="s">
        <v>73</v>
      </c>
    </row>
    <row r="425" spans="1:20" x14ac:dyDescent="0.25">
      <c r="A425">
        <v>22200649</v>
      </c>
      <c r="B425" t="s">
        <v>10</v>
      </c>
      <c r="C425" t="s">
        <v>9</v>
      </c>
      <c r="D425">
        <v>72</v>
      </c>
      <c r="E425">
        <v>74</v>
      </c>
      <c r="F425">
        <v>2</v>
      </c>
      <c r="G425">
        <v>3</v>
      </c>
      <c r="H425" s="1">
        <v>5.3935185185185188E-3</v>
      </c>
      <c r="I425">
        <v>2022</v>
      </c>
      <c r="J425" t="s">
        <v>59</v>
      </c>
      <c r="K425" s="2" t="str">
        <f>HYPERLINK("https://www.nba.com/stats/events?CFID=&amp;CFPARAMS=&amp;GameEventID=364&amp;GameID=0022200649&amp;Season=2022-23&amp;flag=1&amp;title=T.%20Mann%2027'%203PT%20%20(25%20PTS)%20(K.%20Leonard%204%20AST)", "T. Mann 27' 3PT  (25 PTS) (K. Leonard 4 AST)")</f>
        <v>T. Mann 27' 3PT  (25 PTS) (K. Leonard 4 AST)</v>
      </c>
      <c r="L425" s="2" t="str">
        <f>HYPERLINK("https://www.nba.com/game/...-vs-...-0022200649/play-by-play?watchFullGame=true", "LAC vs HOU - Q3 07:46.00")</f>
        <v>LAC vs HOU - Q3 07:46.00</v>
      </c>
      <c r="M425">
        <v>27.33</v>
      </c>
      <c r="N425">
        <v>26.99</v>
      </c>
      <c r="O425">
        <v>87.01</v>
      </c>
      <c r="P425">
        <v>-185</v>
      </c>
      <c r="Q425">
        <v>201</v>
      </c>
      <c r="R425">
        <v>26</v>
      </c>
      <c r="S425">
        <v>87</v>
      </c>
      <c r="T425" t="s">
        <v>73</v>
      </c>
    </row>
    <row r="426" spans="1:20" x14ac:dyDescent="0.25">
      <c r="A426">
        <v>21900016</v>
      </c>
      <c r="B426" t="s">
        <v>10</v>
      </c>
      <c r="C426" t="s">
        <v>61</v>
      </c>
      <c r="D426">
        <v>55</v>
      </c>
      <c r="E426">
        <v>42</v>
      </c>
      <c r="F426">
        <v>13</v>
      </c>
      <c r="G426">
        <v>2</v>
      </c>
      <c r="H426" s="1">
        <v>4.3750000000000004E-3</v>
      </c>
      <c r="I426">
        <v>2019</v>
      </c>
      <c r="J426" t="s">
        <v>59</v>
      </c>
      <c r="K426" s="2" t="str">
        <f>HYPERLINK("https://www.nba.com/stats/events?CFID=&amp;CFPARAMS=&amp;GameEventID=263&amp;GameID=0021900016&amp;Season=2019-20&amp;flag=1&amp;title=[LAC]%20Beverley%203pt%20shot:%20Made%20(3%20PTS)%20assist:%20Leonard%20(5%20AST)", "[LAC] Beverley 3pt shot: Made (3 PTS) assist: Leonard (5 AST)")</f>
        <v>[LAC] Beverley 3pt shot: Made (3 PTS) assist: Leonard (5 AST)</v>
      </c>
      <c r="L426" s="2" t="str">
        <f>HYPERLINK("https://www.nba.com/game/...-vs-...-0021900016/play-by-play?watchFullGame=true", "LAC vs GSW - Q2 06:18.00")</f>
        <v>LAC vs GSW - Q2 06:18.00</v>
      </c>
      <c r="M426">
        <v>27.08</v>
      </c>
      <c r="N426">
        <v>27.94</v>
      </c>
      <c r="O426">
        <v>17.23</v>
      </c>
      <c r="P426">
        <v>164</v>
      </c>
      <c r="Q426">
        <v>210</v>
      </c>
      <c r="R426">
        <v>27</v>
      </c>
      <c r="S426">
        <v>17</v>
      </c>
      <c r="T426" t="s">
        <v>73</v>
      </c>
    </row>
    <row r="427" spans="1:20" x14ac:dyDescent="0.25">
      <c r="A427">
        <v>21900339</v>
      </c>
      <c r="B427" t="s">
        <v>10</v>
      </c>
      <c r="C427" t="s">
        <v>61</v>
      </c>
      <c r="D427">
        <v>77</v>
      </c>
      <c r="E427">
        <v>65</v>
      </c>
      <c r="F427">
        <v>12</v>
      </c>
      <c r="G427">
        <v>3</v>
      </c>
      <c r="H427" s="1">
        <v>6.4120370370370373E-3</v>
      </c>
      <c r="I427">
        <v>2019</v>
      </c>
      <c r="J427" t="s">
        <v>59</v>
      </c>
      <c r="K427" s="2" t="str">
        <f>HYPERLINK("https://www.nba.com/stats/events?CFID=&amp;CFPARAMS=&amp;GameEventID=409&amp;GameID=0021900339&amp;Season=2019-20&amp;flag=1&amp;title=P.%20Beverley%2027'%203PT%20%20(9%20PTS)%20(K.%20Leonard%205%20AST)", "P. Beverley 27' 3PT  (9 PTS) (K. Leonard 5 AST)")</f>
        <v>P. Beverley 27' 3PT  (9 PTS) (K. Leonard 5 AST)</v>
      </c>
      <c r="L427" s="2" t="str">
        <f>HYPERLINK("https://www.nba.com/game/...-vs-...-0021900339/play-by-play?watchFullGame=true", "LAC vs WAS - Q3 09:14.00")</f>
        <v>LAC vs WAS - Q3 09:14.00</v>
      </c>
      <c r="M427">
        <v>27.2</v>
      </c>
      <c r="N427">
        <v>27.38</v>
      </c>
      <c r="O427">
        <v>84.49</v>
      </c>
      <c r="P427">
        <v>-172</v>
      </c>
      <c r="Q427">
        <v>205</v>
      </c>
      <c r="R427">
        <v>27</v>
      </c>
      <c r="S427">
        <v>84</v>
      </c>
      <c r="T427" t="s">
        <v>73</v>
      </c>
    </row>
    <row r="428" spans="1:20" x14ac:dyDescent="0.25">
      <c r="A428">
        <v>21900035</v>
      </c>
      <c r="B428" t="s">
        <v>10</v>
      </c>
      <c r="C428" t="s">
        <v>61</v>
      </c>
      <c r="D428">
        <v>8</v>
      </c>
      <c r="E428">
        <v>14</v>
      </c>
      <c r="F428">
        <v>6</v>
      </c>
      <c r="G428">
        <v>1</v>
      </c>
      <c r="H428" s="1">
        <v>3.8078703703703703E-3</v>
      </c>
      <c r="I428">
        <v>2019</v>
      </c>
      <c r="J428" t="s">
        <v>59</v>
      </c>
      <c r="K428" s="2" t="str">
        <f>HYPERLINK("https://www.nba.com/stats/events?CFID=&amp;CFPARAMS=&amp;GameEventID=90&amp;GameID=0021900035&amp;Season=2019-20&amp;flag=1&amp;title=[LAC]%20Shamet%203pt%20shot:%20Made%20(3%20PTS)%20assist:%20Leonard%20(2%20AST)", "[LAC] Shamet 3pt shot: Made (3 PTS) assist: Leonard (2 AST)")</f>
        <v>[LAC] Shamet 3pt shot: Made (3 PTS) assist: Leonard (2 AST)</v>
      </c>
      <c r="L428" s="2" t="str">
        <f>HYPERLINK("https://www.nba.com/game/...-vs-...-0021900035/play-by-play?watchFullGame=true", "LAC vs PHX - Q1 05:29.00")</f>
        <v>LAC vs PHX - Q1 05:29.00</v>
      </c>
      <c r="M428">
        <v>26.52</v>
      </c>
      <c r="N428">
        <v>27.28</v>
      </c>
      <c r="O428">
        <v>17.47</v>
      </c>
      <c r="P428">
        <v>163</v>
      </c>
      <c r="Q428">
        <v>204</v>
      </c>
      <c r="R428">
        <v>27</v>
      </c>
      <c r="S428">
        <v>17</v>
      </c>
      <c r="T428" t="s">
        <v>73</v>
      </c>
    </row>
    <row r="429" spans="1:20" x14ac:dyDescent="0.25">
      <c r="A429">
        <v>22000172</v>
      </c>
      <c r="B429" t="s">
        <v>10</v>
      </c>
      <c r="C429" t="s">
        <v>9</v>
      </c>
      <c r="D429">
        <v>23</v>
      </c>
      <c r="E429">
        <v>26</v>
      </c>
      <c r="F429">
        <v>3</v>
      </c>
      <c r="G429">
        <v>1</v>
      </c>
      <c r="H429" s="1">
        <v>1.3310185185185185E-3</v>
      </c>
      <c r="I429">
        <v>2020</v>
      </c>
      <c r="J429" t="s">
        <v>59</v>
      </c>
      <c r="K429" s="2" t="str">
        <f>HYPERLINK("https://www.nba.com/stats/events?CFID=&amp;CFPARAMS=&amp;GameEventID=111&amp;GameID=0022000172&amp;Season=2020-21&amp;flag=1&amp;title=L.%20Kennard%2026'%203PT%20%20(3%20PTS)%20(K.%20Leonard%202%20AST)", "L. Kennard 26' 3PT  (3 PTS) (K. Leonard 2 AST)")</f>
        <v>L. Kennard 26' 3PT  (3 PTS) (K. Leonard 2 AST)</v>
      </c>
      <c r="L429" s="2" t="str">
        <f>HYPERLINK("https://www.nba.com/game/...-vs-...-0022000172/play-by-play?watchFullGame=true", "LAC vs NOP - Q1 01:55.00")</f>
        <v>LAC vs NOP - Q1 01:55.00</v>
      </c>
      <c r="M429">
        <v>26.82</v>
      </c>
      <c r="N429">
        <v>27.25</v>
      </c>
      <c r="O429">
        <v>15.13</v>
      </c>
      <c r="P429">
        <v>174</v>
      </c>
      <c r="Q429">
        <v>204</v>
      </c>
      <c r="R429">
        <v>27</v>
      </c>
      <c r="S429">
        <v>15</v>
      </c>
      <c r="T429" t="s">
        <v>73</v>
      </c>
    </row>
    <row r="430" spans="1:20" x14ac:dyDescent="0.25">
      <c r="A430">
        <v>22000324</v>
      </c>
      <c r="B430" t="s">
        <v>10</v>
      </c>
      <c r="C430" t="s">
        <v>9</v>
      </c>
      <c r="D430">
        <v>53</v>
      </c>
      <c r="E430">
        <v>45</v>
      </c>
      <c r="F430">
        <v>8</v>
      </c>
      <c r="G430">
        <v>2</v>
      </c>
      <c r="H430" s="1">
        <v>2.6157407407407405E-3</v>
      </c>
      <c r="I430">
        <v>2020</v>
      </c>
      <c r="J430" t="s">
        <v>59</v>
      </c>
      <c r="K430" s="2" t="str">
        <f>HYPERLINK("https://www.nba.com/stats/events?CFID=&amp;CFPARAMS=&amp;GameEventID=249&amp;GameID=0022000324&amp;Season=2020-21&amp;flag=1&amp;title=M.%20Morris%20Sr.%2025'%203PT%20%20(5%20PTS)%20(K.%20Leonard%205%20AST)", "M. Morris Sr. 25' 3PT  (5 PTS) (K. Leonard 5 AST)")</f>
        <v>M. Morris Sr. 25' 3PT  (5 PTS) (K. Leonard 5 AST)</v>
      </c>
      <c r="L430" s="2" t="str">
        <f>HYPERLINK("https://www.nba.com/game/...-vs-...-0022000324/play-by-play?watchFullGame=true", "LAC vs BKN - Q2 03:46.00")</f>
        <v>LAC vs BKN - Q2 03:46.00</v>
      </c>
      <c r="M430">
        <v>25.94</v>
      </c>
      <c r="N430">
        <v>27.28</v>
      </c>
      <c r="O430">
        <v>17.96</v>
      </c>
      <c r="P430">
        <v>160</v>
      </c>
      <c r="Q430">
        <v>204</v>
      </c>
      <c r="R430">
        <v>27</v>
      </c>
      <c r="S430">
        <v>17</v>
      </c>
      <c r="T430" t="s">
        <v>73</v>
      </c>
    </row>
    <row r="431" spans="1:20" x14ac:dyDescent="0.25">
      <c r="A431">
        <v>22000717</v>
      </c>
      <c r="B431" t="s">
        <v>10</v>
      </c>
      <c r="C431" t="s">
        <v>9</v>
      </c>
      <c r="D431">
        <v>13</v>
      </c>
      <c r="E431">
        <v>12</v>
      </c>
      <c r="F431">
        <v>1</v>
      </c>
      <c r="G431">
        <v>1</v>
      </c>
      <c r="H431" s="1">
        <v>5.5555555555555558E-3</v>
      </c>
      <c r="I431">
        <v>2020</v>
      </c>
      <c r="J431" t="s">
        <v>59</v>
      </c>
      <c r="K431" s="2" t="str">
        <f>HYPERLINK("https://www.nba.com/stats/events?CFID=&amp;CFPARAMS=&amp;GameEventID=43&amp;GameID=0022000717&amp;Season=2020-21&amp;flag=1&amp;title=R.%20Jackson%2026'%203PT%20%20(3%20PTS)%20(K.%20Leonard%202%20AST)", "R. Jackson 26' 3PT  (3 PTS) (K. Leonard 2 AST)")</f>
        <v>R. Jackson 26' 3PT  (3 PTS) (K. Leonard 2 AST)</v>
      </c>
      <c r="L431" s="2" t="str">
        <f>HYPERLINK("https://www.nba.com/game/...-vs-...-0022000717/play-by-play?watchFullGame=true", "LAC vs MIL - Q1 08:00.00")</f>
        <v>LAC vs MIL - Q1 08:00.00</v>
      </c>
      <c r="M431">
        <v>26</v>
      </c>
      <c r="N431">
        <v>27.81</v>
      </c>
      <c r="O431">
        <v>80.95</v>
      </c>
      <c r="P431">
        <v>-155</v>
      </c>
      <c r="Q431">
        <v>209</v>
      </c>
      <c r="R431">
        <v>27</v>
      </c>
      <c r="S431">
        <v>80</v>
      </c>
      <c r="T431" t="s">
        <v>73</v>
      </c>
    </row>
    <row r="432" spans="1:20" x14ac:dyDescent="0.25">
      <c r="A432">
        <v>22000736</v>
      </c>
      <c r="B432" t="s">
        <v>10</v>
      </c>
      <c r="C432" t="s">
        <v>9</v>
      </c>
      <c r="D432">
        <v>66</v>
      </c>
      <c r="E432">
        <v>76</v>
      </c>
      <c r="F432">
        <v>10</v>
      </c>
      <c r="G432">
        <v>3</v>
      </c>
      <c r="H432" s="1">
        <v>3.2291666666666666E-3</v>
      </c>
      <c r="I432">
        <v>2020</v>
      </c>
      <c r="J432" t="s">
        <v>59</v>
      </c>
      <c r="K432" s="2" t="str">
        <f>HYPERLINK("https://www.nba.com/stats/events?CFID=&amp;CFPARAMS=&amp;GameEventID=384&amp;GameID=0022000736&amp;Season=2020-21&amp;flag=1&amp;title=T.%20Mann%2026'%203PT%20%20(9%20PTS)%20(K.%20Leonard%204%20AST)", "T. Mann 26' 3PT  (9 PTS) (K. Leonard 4 AST)")</f>
        <v>T. Mann 26' 3PT  (9 PTS) (K. Leonard 4 AST)</v>
      </c>
      <c r="L432" s="2" t="str">
        <f>HYPERLINK("https://www.nba.com/game/...-vs-...-0022000736/play-by-play?watchFullGame=true", "LAC vs DEN - Q3 04:39.00")</f>
        <v>LAC vs DEN - Q3 04:39.00</v>
      </c>
      <c r="M432">
        <v>26.13</v>
      </c>
      <c r="N432">
        <v>27.55</v>
      </c>
      <c r="O432">
        <v>17.96</v>
      </c>
      <c r="P432">
        <v>160</v>
      </c>
      <c r="Q432">
        <v>206</v>
      </c>
      <c r="R432">
        <v>27</v>
      </c>
      <c r="S432">
        <v>17</v>
      </c>
      <c r="T432" t="s">
        <v>73</v>
      </c>
    </row>
    <row r="433" spans="1:20" x14ac:dyDescent="0.25">
      <c r="A433">
        <v>22000350</v>
      </c>
      <c r="B433" t="s">
        <v>10</v>
      </c>
      <c r="C433" t="s">
        <v>9</v>
      </c>
      <c r="D433">
        <v>25</v>
      </c>
      <c r="E433">
        <v>19</v>
      </c>
      <c r="F433">
        <v>6</v>
      </c>
      <c r="G433">
        <v>1</v>
      </c>
      <c r="H433" s="1">
        <v>2.3611111111111111E-3</v>
      </c>
      <c r="I433">
        <v>2020</v>
      </c>
      <c r="J433" t="s">
        <v>59</v>
      </c>
      <c r="K433" s="2" t="str">
        <f>HYPERLINK("https://www.nba.com/stats/events?CFID=&amp;CFPARAMS=&amp;GameEventID=110&amp;GameID=0022000350&amp;Season=2020-21&amp;flag=1&amp;title=M.%20Morris%20Sr.%2028'%203PT%20%20(3%20PTS)%20(K.%20Leonard%202%20AST)", "M. Morris Sr. 28' 3PT  (3 PTS) (K. Leonard 2 AST)")</f>
        <v>M. Morris Sr. 28' 3PT  (3 PTS) (K. Leonard 2 AST)</v>
      </c>
      <c r="L433" s="2" t="str">
        <f>HYPERLINK("https://www.nba.com/game/...-vs-...-0022000350/play-by-play?watchFullGame=true", "LAC vs BOS - Q1 03:24.00")</f>
        <v>LAC vs BOS - Q1 03:24.00</v>
      </c>
      <c r="M433">
        <v>28.87</v>
      </c>
      <c r="N433">
        <v>27.02</v>
      </c>
      <c r="O433">
        <v>8.65</v>
      </c>
      <c r="P433">
        <v>207</v>
      </c>
      <c r="Q433">
        <v>201</v>
      </c>
      <c r="R433">
        <v>27</v>
      </c>
      <c r="S433">
        <v>8</v>
      </c>
      <c r="T433" t="s">
        <v>73</v>
      </c>
    </row>
    <row r="434" spans="1:20" x14ac:dyDescent="0.25">
      <c r="A434">
        <v>22000172</v>
      </c>
      <c r="B434" t="s">
        <v>10</v>
      </c>
      <c r="C434" t="s">
        <v>9</v>
      </c>
      <c r="D434">
        <v>48</v>
      </c>
      <c r="E434">
        <v>39</v>
      </c>
      <c r="F434">
        <v>9</v>
      </c>
      <c r="G434">
        <v>2</v>
      </c>
      <c r="H434" s="1">
        <v>2.0717592592592593E-3</v>
      </c>
      <c r="I434">
        <v>2020</v>
      </c>
      <c r="J434" t="s">
        <v>59</v>
      </c>
      <c r="K434" s="2" t="str">
        <f>HYPERLINK("https://www.nba.com/stats/events?CFID=&amp;CFPARAMS=&amp;GameEventID=258&amp;GameID=0022000172&amp;Season=2020-21&amp;flag=1&amp;title=Ibaka%2026'%203PT%20%20(7%20PTS)%20(K.%20Leonard%203%20AST)", "S. Ibaka 26' 3PT  (7 PTS) (K. Leonard 3 AST)")</f>
        <v>S. Ibaka 26' 3PT  (7 PTS) (K. Leonard 3 AST)</v>
      </c>
      <c r="L434" s="2" t="str">
        <f>HYPERLINK("https://www.nba.com/game/...-vs-...-0022000172/play-by-play?watchFullGame=true", "LAC vs NOP - Q2 02:59.00")</f>
        <v>LAC vs NOP - Q2 02:59.00</v>
      </c>
      <c r="M434">
        <v>26.12</v>
      </c>
      <c r="N434">
        <v>27.78</v>
      </c>
      <c r="O434">
        <v>18.559999999999999</v>
      </c>
      <c r="P434">
        <v>157</v>
      </c>
      <c r="Q434">
        <v>209</v>
      </c>
      <c r="R434">
        <v>27</v>
      </c>
      <c r="S434">
        <v>18</v>
      </c>
      <c r="T434" t="s">
        <v>73</v>
      </c>
    </row>
    <row r="435" spans="1:20" x14ac:dyDescent="0.25">
      <c r="A435">
        <v>22200016</v>
      </c>
      <c r="B435" t="s">
        <v>10</v>
      </c>
      <c r="C435" t="s">
        <v>9</v>
      </c>
      <c r="D435">
        <v>92</v>
      </c>
      <c r="E435">
        <v>89</v>
      </c>
      <c r="F435">
        <v>3</v>
      </c>
      <c r="G435">
        <v>4</v>
      </c>
      <c r="H435" s="1">
        <v>4.8032407407407407E-3</v>
      </c>
      <c r="I435">
        <v>2022</v>
      </c>
      <c r="J435" t="s">
        <v>59</v>
      </c>
      <c r="K435" s="2" t="str">
        <f>HYPERLINK("https://www.nba.com/stats/events?CFID=&amp;CFPARAMS=&amp;GameEventID=613&amp;GameID=0022200016&amp;Season=2022-23&amp;flag=1&amp;title=R.%20Jackson%2026'%203PT%20%20(8%20PTS)%20(K.%20Leonard%202%20AST)", "R. Jackson 26' 3PT  (8 PTS) (K. Leonard 2 AST)")</f>
        <v>R. Jackson 26' 3PT  (8 PTS) (K. Leonard 2 AST)</v>
      </c>
      <c r="L435" s="2" t="str">
        <f>HYPERLINK("https://www.nba.com/game/...-vs-...-0022200016/play-by-play?watchFullGame=true", "LAC vs LAL - Q4 06:55.00")</f>
        <v>LAC vs LAL - Q4 06:55.00</v>
      </c>
      <c r="M435">
        <v>26.3</v>
      </c>
      <c r="N435">
        <v>27.64</v>
      </c>
      <c r="O435">
        <v>82.35</v>
      </c>
      <c r="P435">
        <v>-162</v>
      </c>
      <c r="Q435">
        <v>207</v>
      </c>
      <c r="R435">
        <v>27</v>
      </c>
      <c r="S435">
        <v>82</v>
      </c>
      <c r="T435" t="s">
        <v>73</v>
      </c>
    </row>
    <row r="436" spans="1:20" x14ac:dyDescent="0.25">
      <c r="A436">
        <v>22000130</v>
      </c>
      <c r="B436" t="s">
        <v>10</v>
      </c>
      <c r="C436" t="s">
        <v>9</v>
      </c>
      <c r="D436">
        <v>62</v>
      </c>
      <c r="E436">
        <v>48</v>
      </c>
      <c r="F436">
        <v>14</v>
      </c>
      <c r="G436">
        <v>2</v>
      </c>
      <c r="H436" s="1">
        <v>6.0532407407407399E-4</v>
      </c>
      <c r="I436">
        <v>2020</v>
      </c>
      <c r="J436" t="s">
        <v>59</v>
      </c>
      <c r="K436" s="2" t="str">
        <f>HYPERLINK("https://www.nba.com/stats/events?CFID=&amp;CFPARAMS=&amp;GameEventID=299&amp;GameID=0022000130&amp;Season=2020-21&amp;flag=1&amp;title=P.%20George%2026'%203PT%20%20(17%20PTS)%20(K.%20Leonard%204%20AST)", "P. George 26' 3PT  (17 PTS) (K. Leonard 4 AST)")</f>
        <v>P. George 26' 3PT  (17 PTS) (K. Leonard 4 AST)</v>
      </c>
      <c r="L436" s="2" t="str">
        <f>HYPERLINK("https://www.nba.com/game/...-vs-...-0022000130/play-by-play?watchFullGame=true", "LAC vs GSW - Q2 00:52.30")</f>
        <v>LAC vs GSW - Q2 00:52.30</v>
      </c>
      <c r="M436">
        <v>26.06</v>
      </c>
      <c r="N436">
        <v>27.94</v>
      </c>
      <c r="O436">
        <v>19.190000000000001</v>
      </c>
      <c r="P436">
        <v>154</v>
      </c>
      <c r="Q436">
        <v>210</v>
      </c>
      <c r="R436">
        <v>27</v>
      </c>
      <c r="S436">
        <v>19</v>
      </c>
      <c r="T436" t="s">
        <v>73</v>
      </c>
    </row>
    <row r="437" spans="1:20" x14ac:dyDescent="0.25">
      <c r="A437">
        <v>22000509</v>
      </c>
      <c r="B437" t="s">
        <v>10</v>
      </c>
      <c r="C437" t="s">
        <v>9</v>
      </c>
      <c r="D437">
        <v>90</v>
      </c>
      <c r="E437">
        <v>70</v>
      </c>
      <c r="F437">
        <v>20</v>
      </c>
      <c r="G437">
        <v>3</v>
      </c>
      <c r="H437" s="1">
        <v>1.6666666666666666E-4</v>
      </c>
      <c r="I437">
        <v>2020</v>
      </c>
      <c r="J437" t="s">
        <v>59</v>
      </c>
      <c r="K437" s="2" t="str">
        <f>HYPERLINK("https://www.nba.com/stats/events?CFID=&amp;CFPARAMS=&amp;GameEventID=462&amp;GameID=0022000509&amp;Season=2020-21&amp;flag=1&amp;title=L.%20Williams%2025'%203PT%20%20(15%20PTS)%20(K.%20Leonard%206%20AST)", "L. Williams 25' 3PT  (15 PTS) (K. Leonard 6 AST)")</f>
        <v>L. Williams 25' 3PT  (15 PTS) (K. Leonard 6 AST)</v>
      </c>
      <c r="L437" s="2" t="str">
        <f>HYPERLINK("https://www.nba.com/game/...-vs-...-0022000509/play-by-play?watchFullGame=true", "LAC vs MEM - Q3 00:14.40")</f>
        <v>LAC vs MEM - Q3 00:14.40</v>
      </c>
      <c r="M437">
        <v>25.93</v>
      </c>
      <c r="N437">
        <v>27.68</v>
      </c>
      <c r="O437">
        <v>18.940000000000001</v>
      </c>
      <c r="P437">
        <v>155</v>
      </c>
      <c r="Q437">
        <v>208</v>
      </c>
      <c r="R437">
        <v>27</v>
      </c>
      <c r="S437">
        <v>18</v>
      </c>
      <c r="T437" t="s">
        <v>73</v>
      </c>
    </row>
    <row r="438" spans="1:20" x14ac:dyDescent="0.25">
      <c r="A438">
        <v>22200223</v>
      </c>
      <c r="B438" t="s">
        <v>10</v>
      </c>
      <c r="C438" t="s">
        <v>9</v>
      </c>
      <c r="D438">
        <v>53</v>
      </c>
      <c r="E438">
        <v>55</v>
      </c>
      <c r="F438">
        <v>2</v>
      </c>
      <c r="G438">
        <v>3</v>
      </c>
      <c r="H438" s="1">
        <v>4.4791666666666669E-3</v>
      </c>
      <c r="I438">
        <v>2022</v>
      </c>
      <c r="J438" t="s">
        <v>59</v>
      </c>
      <c r="K438" s="2" t="str">
        <f>HYPERLINK("https://www.nba.com/stats/events?CFID=&amp;CFPARAMS=&amp;GameEventID=388&amp;GameID=0022200223&amp;Season=2022-23&amp;flag=1&amp;title=M.%20Morris%20Sr.%2027'%203PT%20%20(8%20PTS)%20(K.%20Leonard%203%20AST)", "M. Morris Sr. 27' 3PT  (8 PTS) (K. Leonard 3 AST)")</f>
        <v>M. Morris Sr. 27' 3PT  (8 PTS) (K. Leonard 3 AST)</v>
      </c>
      <c r="L438" s="2" t="str">
        <f>HYPERLINK("https://www.nba.com/game/...-vs-...-0022200223/play-by-play?watchFullGame=true", "LAC vs DET - Q3 06:27.00")</f>
        <v>LAC vs DET - Q3 06:27.00</v>
      </c>
      <c r="M438">
        <v>27.69</v>
      </c>
      <c r="N438">
        <v>27.25</v>
      </c>
      <c r="O438">
        <v>87.5</v>
      </c>
      <c r="P438">
        <v>-188</v>
      </c>
      <c r="Q438">
        <v>204</v>
      </c>
      <c r="R438">
        <v>27</v>
      </c>
      <c r="S438">
        <v>87</v>
      </c>
      <c r="T438" t="s">
        <v>73</v>
      </c>
    </row>
    <row r="439" spans="1:20" x14ac:dyDescent="0.25">
      <c r="A439">
        <v>42000177</v>
      </c>
      <c r="B439" t="s">
        <v>10</v>
      </c>
      <c r="C439" t="s">
        <v>9</v>
      </c>
      <c r="D439">
        <v>111</v>
      </c>
      <c r="E439">
        <v>94</v>
      </c>
      <c r="F439">
        <v>17</v>
      </c>
      <c r="G439">
        <v>4</v>
      </c>
      <c r="H439" s="1">
        <v>4.9189814814814816E-3</v>
      </c>
      <c r="I439" t="s">
        <v>66</v>
      </c>
      <c r="J439" t="s">
        <v>59</v>
      </c>
      <c r="K439" s="2" t="str">
        <f>HYPERLINK("https://www.nba.com/stats/events?CFID=&amp;CFPARAMS=&amp;GameEventID=536&amp;GameID=0042000177&amp;Season=2020-21&amp;flag=1&amp;title=P.%20George%2024'%203PT%20%20(18%20PTS)%20(K.%20Leonard%206%20AST)", "P. George 24' 3PT  (18 PTS) (K. Leonard 6 AST)")</f>
        <v>P. George 24' 3PT  (18 PTS) (K. Leonard 6 AST)</v>
      </c>
      <c r="L439" s="2" t="str">
        <f>HYPERLINK("https://www.nba.com/game/...-vs-...-0042000177/play-by-play?watchFullGame=true", "LAC vs DAL - Q4 07:05.00")</f>
        <v>LAC vs DAL - Q4 07:05.00</v>
      </c>
      <c r="M439">
        <v>24.99</v>
      </c>
      <c r="N439">
        <v>27.15</v>
      </c>
      <c r="O439">
        <v>79.239999999999995</v>
      </c>
      <c r="P439">
        <v>27</v>
      </c>
      <c r="Q439">
        <v>79</v>
      </c>
      <c r="R439">
        <v>27</v>
      </c>
      <c r="S439">
        <v>79</v>
      </c>
      <c r="T439" t="s">
        <v>73</v>
      </c>
    </row>
    <row r="440" spans="1:20" x14ac:dyDescent="0.25">
      <c r="A440">
        <v>22300956</v>
      </c>
      <c r="B440" t="s">
        <v>10</v>
      </c>
      <c r="C440" t="s">
        <v>9</v>
      </c>
      <c r="D440">
        <v>16</v>
      </c>
      <c r="E440">
        <v>9</v>
      </c>
      <c r="F440">
        <v>7</v>
      </c>
      <c r="G440">
        <v>1</v>
      </c>
      <c r="H440" s="1">
        <v>4.0856481481481481E-3</v>
      </c>
      <c r="I440">
        <v>2023</v>
      </c>
      <c r="J440" t="s">
        <v>59</v>
      </c>
      <c r="K440" s="2" t="str">
        <f>HYPERLINK("https://www.nba.com/stats/events?CFID=&amp;CFPARAMS=&amp;GameEventID=65&amp;GameID=0022300956&amp;Season=2023-24&amp;flag=1&amp;title=P.%20George%2024'%203PT%20%20(5%20PTS)%20(K.%20Leonard%201%20AST)", "P. George 24' 3PT  (5 PTS) (K. Leonard 1 AST)")</f>
        <v>P. George 24' 3PT  (5 PTS) (K. Leonard 1 AST)</v>
      </c>
      <c r="L440" s="2" t="str">
        <f>HYPERLINK("https://www.nba.com/game/...-vs-...-0022300956/play-by-play?watchFullGame=true", "LAC vs CHI - Q1 05:53.00")</f>
        <v>LAC vs CHI - Q1 05:53.00</v>
      </c>
      <c r="M440">
        <v>24.99</v>
      </c>
      <c r="N440">
        <v>27.55</v>
      </c>
      <c r="O440">
        <v>21.81</v>
      </c>
      <c r="P440">
        <v>141</v>
      </c>
      <c r="Q440">
        <v>206</v>
      </c>
      <c r="R440">
        <v>27</v>
      </c>
      <c r="S440">
        <v>21</v>
      </c>
      <c r="T440" t="s">
        <v>73</v>
      </c>
    </row>
    <row r="441" spans="1:20" x14ac:dyDescent="0.25">
      <c r="A441">
        <v>22300537</v>
      </c>
      <c r="B441" t="s">
        <v>10</v>
      </c>
      <c r="C441" t="s">
        <v>9</v>
      </c>
      <c r="D441">
        <v>65</v>
      </c>
      <c r="E441">
        <v>52</v>
      </c>
      <c r="F441">
        <v>13</v>
      </c>
      <c r="G441">
        <v>2</v>
      </c>
      <c r="H441" s="1">
        <v>3.5416666666666669E-4</v>
      </c>
      <c r="I441">
        <v>2023</v>
      </c>
      <c r="J441" t="s">
        <v>59</v>
      </c>
      <c r="K441" s="2" t="str">
        <f>HYPERLINK("https://www.nba.com/stats/events?CFID=&amp;CFPARAMS=&amp;GameEventID=304&amp;GameID=0022300537&amp;Season=2023-24&amp;flag=1&amp;title=P.%20George%2025'%203PT%20%20(17%20PTS)%20(K.%20Leonard%203%20AST)", "P. George 25' 3PT  (17 PTS) (K. Leonard 3 AST)")</f>
        <v>P. George 25' 3PT  (17 PTS) (K. Leonard 3 AST)</v>
      </c>
      <c r="L441" s="2" t="str">
        <f>HYPERLINK("https://www.nba.com/game/...-vs-...-0022300537/play-by-play?watchFullGame=true", "LAC vs MEM - Q2 00:30.60")</f>
        <v>LAC vs MEM - Q2 00:30.60</v>
      </c>
      <c r="M441">
        <v>25.91</v>
      </c>
      <c r="N441">
        <v>27.81</v>
      </c>
      <c r="O441">
        <v>19.36</v>
      </c>
      <c r="P441">
        <v>153</v>
      </c>
      <c r="Q441">
        <v>209</v>
      </c>
      <c r="R441">
        <v>27</v>
      </c>
      <c r="S441">
        <v>19</v>
      </c>
      <c r="T441" t="s">
        <v>73</v>
      </c>
    </row>
    <row r="442" spans="1:20" x14ac:dyDescent="0.25">
      <c r="A442">
        <v>22201096</v>
      </c>
      <c r="B442" t="s">
        <v>10</v>
      </c>
      <c r="C442" t="s">
        <v>9</v>
      </c>
      <c r="D442">
        <v>95</v>
      </c>
      <c r="E442">
        <v>85</v>
      </c>
      <c r="F442">
        <v>10</v>
      </c>
      <c r="G442">
        <v>4</v>
      </c>
      <c r="H442" s="1">
        <v>7.4999999999999997E-3</v>
      </c>
      <c r="I442">
        <v>2022</v>
      </c>
      <c r="J442" t="s">
        <v>59</v>
      </c>
      <c r="K442" s="2" t="str">
        <f>HYPERLINK("https://www.nba.com/stats/events?CFID=&amp;CFPARAMS=&amp;GameEventID=490&amp;GameID=0022201096&amp;Season=2022-23&amp;flag=1&amp;title=N.%20Batum%2025'%203PT%20step%20back%20(6%20PTS)%20(K.%20Leonard%205%20AST)", "N. Batum 25' 3PT step back (6 PTS) (K. Leonard 5 AST)")</f>
        <v>N. Batum 25' 3PT step back (6 PTS) (K. Leonard 5 AST)</v>
      </c>
      <c r="L442" s="2" t="str">
        <f>HYPERLINK("https://www.nba.com/game/...-vs-...-0022201096/play-by-play?watchFullGame=true", "LAC vs OKC - Q4 10:48.00")</f>
        <v>LAC vs OKC - Q4 10:48.00</v>
      </c>
      <c r="M442">
        <v>25.31</v>
      </c>
      <c r="N442">
        <v>27.12</v>
      </c>
      <c r="O442">
        <v>19.61</v>
      </c>
      <c r="P442">
        <v>152</v>
      </c>
      <c r="Q442">
        <v>202</v>
      </c>
      <c r="R442">
        <v>27</v>
      </c>
      <c r="S442">
        <v>19</v>
      </c>
      <c r="T442" t="s">
        <v>73</v>
      </c>
    </row>
    <row r="443" spans="1:20" x14ac:dyDescent="0.25">
      <c r="A443">
        <v>42000172</v>
      </c>
      <c r="B443" t="s">
        <v>10</v>
      </c>
      <c r="C443" t="s">
        <v>9</v>
      </c>
      <c r="D443">
        <v>121</v>
      </c>
      <c r="E443">
        <v>125</v>
      </c>
      <c r="F443">
        <v>4</v>
      </c>
      <c r="G443">
        <v>4</v>
      </c>
      <c r="H443" s="1">
        <v>1.4814814814814815E-4</v>
      </c>
      <c r="I443" t="s">
        <v>66</v>
      </c>
      <c r="J443" t="s">
        <v>59</v>
      </c>
      <c r="K443" s="2" t="str">
        <f>HYPERLINK("https://www.nba.com/stats/events?CFID=&amp;CFPARAMS=&amp;GameEventID=617&amp;GameID=0042000172&amp;Season=2020-21&amp;flag=1&amp;title=N.%20Batum%2026'%203PT%20%20(9%20PTS)%20(K.%20Leonard%204%20AST)", "N. Batum 26' 3PT  (9 PTS) (K. Leonard 4 AST)")</f>
        <v>N. Batum 26' 3PT  (9 PTS) (K. Leonard 4 AST)</v>
      </c>
      <c r="L443" s="2" t="str">
        <f>HYPERLINK("https://www.nba.com/game/...-vs-...-0042000172/play-by-play?watchFullGame=true", "LAC vs DAL - Q4 00:12.80")</f>
        <v>LAC vs DAL - Q4 00:12.80</v>
      </c>
      <c r="M443">
        <v>26.98</v>
      </c>
      <c r="N443">
        <v>27.15</v>
      </c>
      <c r="O443">
        <v>85.61</v>
      </c>
      <c r="P443">
        <v>27</v>
      </c>
      <c r="Q443">
        <v>85</v>
      </c>
      <c r="R443">
        <v>27</v>
      </c>
      <c r="S443">
        <v>85</v>
      </c>
      <c r="T443" t="s">
        <v>73</v>
      </c>
    </row>
    <row r="444" spans="1:20" x14ac:dyDescent="0.25">
      <c r="A444">
        <v>22200918</v>
      </c>
      <c r="B444" t="s">
        <v>10</v>
      </c>
      <c r="C444" t="s">
        <v>9</v>
      </c>
      <c r="D444">
        <v>64</v>
      </c>
      <c r="E444">
        <v>70</v>
      </c>
      <c r="F444">
        <v>6</v>
      </c>
      <c r="G444">
        <v>3</v>
      </c>
      <c r="H444" s="1">
        <v>6.8171296296296296E-3</v>
      </c>
      <c r="I444">
        <v>2022</v>
      </c>
      <c r="J444" t="s">
        <v>59</v>
      </c>
      <c r="K444" s="2" t="str">
        <f>HYPERLINK("https://www.nba.com/stats/events?CFID=&amp;CFPARAMS=&amp;GameEventID=343&amp;GameID=0022200918&amp;Season=2022-23&amp;flag=1&amp;title=N.%20Batum%2026'%203PT%20%20(9%20PTS)%20(K.%20Leonard%201%20AST)", "N. Batum 26' 3PT  (9 PTS) (K. Leonard 1 AST)")</f>
        <v>N. Batum 26' 3PT  (9 PTS) (K. Leonard 1 AST)</v>
      </c>
      <c r="L444" s="2" t="str">
        <f>HYPERLINK("https://www.nba.com/game/...-vs-...-0022200918/play-by-play?watchFullGame=true", "LAC vs DEN - Q3 09:49.00")</f>
        <v>LAC vs DEN - Q3 09:49.00</v>
      </c>
      <c r="M444">
        <v>26.37</v>
      </c>
      <c r="N444">
        <v>27.94</v>
      </c>
      <c r="O444">
        <v>81.86</v>
      </c>
      <c r="P444">
        <v>-159</v>
      </c>
      <c r="Q444">
        <v>210</v>
      </c>
      <c r="R444">
        <v>27</v>
      </c>
      <c r="S444">
        <v>81</v>
      </c>
      <c r="T444" t="s">
        <v>73</v>
      </c>
    </row>
    <row r="445" spans="1:20" x14ac:dyDescent="0.25">
      <c r="A445">
        <v>22400646</v>
      </c>
      <c r="B445" t="s">
        <v>10</v>
      </c>
      <c r="C445" t="s">
        <v>9</v>
      </c>
      <c r="D445">
        <v>72</v>
      </c>
      <c r="E445">
        <v>67</v>
      </c>
      <c r="F445">
        <v>5</v>
      </c>
      <c r="G445">
        <v>3</v>
      </c>
      <c r="H445" s="1">
        <v>5.2893518518518515E-3</v>
      </c>
      <c r="I445">
        <v>2024</v>
      </c>
      <c r="J445" t="s">
        <v>59</v>
      </c>
      <c r="K445" s="2" t="str">
        <f>HYPERLINK("https://www.nba.com/stats/events?CFID=&amp;CFPARAMS=&amp;GameEventID=389&amp;GameID=0022400646&amp;Season=2024-25&amp;flag=1&amp;title=N.%20Powell%2026'%203PT%20%20(16%20PTS)%20(K.%20Leonard%203%20AST)", "N. Powell 26' 3PT  (16 PTS) (K. Leonard 3 AST)")</f>
        <v>N. Powell 26' 3PT  (16 PTS) (K. Leonard 3 AST)</v>
      </c>
      <c r="L445" s="2" t="str">
        <f>HYPERLINK("https://www.nba.com/game/...-vs-...-0022400646/play-by-play?watchFullGame=true", "LAC vs MIL - Q3 07:37.00")</f>
        <v>LAC vs MIL - Q3 07:37.00</v>
      </c>
      <c r="M445">
        <v>26.55</v>
      </c>
      <c r="N445">
        <v>27.68</v>
      </c>
      <c r="O445">
        <v>83.09</v>
      </c>
      <c r="P445">
        <v>-165</v>
      </c>
      <c r="Q445">
        <v>208</v>
      </c>
      <c r="R445">
        <v>27</v>
      </c>
      <c r="S445">
        <v>83</v>
      </c>
      <c r="T445" t="s">
        <v>73</v>
      </c>
    </row>
    <row r="446" spans="1:20" x14ac:dyDescent="0.25">
      <c r="A446">
        <v>22000142</v>
      </c>
      <c r="B446" t="s">
        <v>10</v>
      </c>
      <c r="C446" t="s">
        <v>9</v>
      </c>
      <c r="D446">
        <v>17</v>
      </c>
      <c r="E446">
        <v>20</v>
      </c>
      <c r="F446">
        <v>3</v>
      </c>
      <c r="G446">
        <v>1</v>
      </c>
      <c r="H446" s="1">
        <v>2.8935185185185184E-3</v>
      </c>
      <c r="I446">
        <v>2020</v>
      </c>
      <c r="J446" t="s">
        <v>59</v>
      </c>
      <c r="K446" s="2" t="str">
        <f>HYPERLINK("https://www.nba.com/stats/events?CFID=&amp;CFPARAMS=&amp;GameEventID=88&amp;GameID=0022000142&amp;Season=2020-21&amp;flag=1&amp;title=P.%20George%2025'%203PT%20%20(3%20PTS)%20(K.%20Leonard%201%20AST)", "P. George 25' 3PT  (3 PTS) (K. Leonard 1 AST)")</f>
        <v>P. George 25' 3PT  (3 PTS) (K. Leonard 1 AST)</v>
      </c>
      <c r="L446" s="2" t="str">
        <f>HYPERLINK("https://www.nba.com/game/...-vs-...-0022000142/play-by-play?watchFullGame=true", "LAC vs CHI - Q1 04:10.00")</f>
        <v>LAC vs CHI - Q1 04:10.00</v>
      </c>
      <c r="M446">
        <v>25.7</v>
      </c>
      <c r="N446">
        <v>28.47</v>
      </c>
      <c r="O446">
        <v>21.88</v>
      </c>
      <c r="P446">
        <v>141</v>
      </c>
      <c r="Q446">
        <v>215</v>
      </c>
      <c r="R446">
        <v>28</v>
      </c>
      <c r="S446">
        <v>21</v>
      </c>
      <c r="T446" t="s">
        <v>73</v>
      </c>
    </row>
    <row r="447" spans="1:20" x14ac:dyDescent="0.25">
      <c r="A447">
        <v>21901271</v>
      </c>
      <c r="B447" t="s">
        <v>10</v>
      </c>
      <c r="C447" t="s">
        <v>61</v>
      </c>
      <c r="D447">
        <v>18</v>
      </c>
      <c r="E447">
        <v>11</v>
      </c>
      <c r="F447">
        <v>7</v>
      </c>
      <c r="G447">
        <v>1</v>
      </c>
      <c r="H447" s="1">
        <v>3.2175925925925926E-3</v>
      </c>
      <c r="I447">
        <v>2019</v>
      </c>
      <c r="J447" t="s">
        <v>59</v>
      </c>
      <c r="K447" s="2" t="str">
        <f>HYPERLINK("https://www.nba.com/stats/events?CFID=&amp;CFPARAMS=&amp;GameEventID=93&amp;GameID=0021901271&amp;Season=2019-20&amp;flag=1&amp;title=P.%20George%2026'%203PT%20%20(7%20PTS)%20(K.%20Leonard%202%20AST)", "P. George 26' 3PT  (7 PTS) (K. Leonard 2 AST)")</f>
        <v>P. George 26' 3PT  (7 PTS) (K. Leonard 2 AST)</v>
      </c>
      <c r="L447" s="2" t="str">
        <f>HYPERLINK("https://www.nba.com/game/...-vs-...-0021901271/play-by-play?watchFullGame=true", "LAC vs DAL - Q1 04:38.00")</f>
        <v>LAC vs DAL - Q1 04:38.00</v>
      </c>
      <c r="M447">
        <v>26.18</v>
      </c>
      <c r="N447">
        <v>28.33</v>
      </c>
      <c r="O447">
        <v>21.39</v>
      </c>
      <c r="P447">
        <v>143</v>
      </c>
      <c r="Q447">
        <v>214</v>
      </c>
      <c r="R447">
        <v>28</v>
      </c>
      <c r="S447">
        <v>21</v>
      </c>
      <c r="T447" t="s">
        <v>73</v>
      </c>
    </row>
    <row r="448" spans="1:20" x14ac:dyDescent="0.25">
      <c r="A448">
        <v>22000077</v>
      </c>
      <c r="B448" t="s">
        <v>10</v>
      </c>
      <c r="C448" t="s">
        <v>9</v>
      </c>
      <c r="D448">
        <v>24</v>
      </c>
      <c r="E448">
        <v>37</v>
      </c>
      <c r="F448">
        <v>13</v>
      </c>
      <c r="G448">
        <v>2</v>
      </c>
      <c r="H448" s="1">
        <v>7.1759259259259259E-3</v>
      </c>
      <c r="I448">
        <v>2020</v>
      </c>
      <c r="J448" t="s">
        <v>59</v>
      </c>
      <c r="K448" s="2" t="str">
        <f>HYPERLINK("https://www.nba.com/stats/events?CFID=&amp;CFPARAMS=&amp;GameEventID=207&amp;GameID=0022000077&amp;Season=2020-21&amp;flag=1&amp;title=P.%20George%2024'%203PT%20%20(7%20PTS)%20(K.%20Leonard%202%20AST)", "P. George 24' 3PT  (7 PTS) (K. Leonard 2 AST)")</f>
        <v>P. George 24' 3PT  (7 PTS) (K. Leonard 2 AST)</v>
      </c>
      <c r="L448" s="2" t="str">
        <f>HYPERLINK("https://www.nba.com/game/...-vs-...-0022000077/play-by-play?watchFullGame=true", "LAC vs UTA - Q2 10:20.00")</f>
        <v>LAC vs UTA - Q2 10:20.00</v>
      </c>
      <c r="M448">
        <v>24.46</v>
      </c>
      <c r="N448">
        <v>28.99</v>
      </c>
      <c r="O448">
        <v>71.39</v>
      </c>
      <c r="P448">
        <v>-107</v>
      </c>
      <c r="Q448">
        <v>220</v>
      </c>
      <c r="R448">
        <v>28</v>
      </c>
      <c r="S448">
        <v>71</v>
      </c>
      <c r="T448" t="s">
        <v>73</v>
      </c>
    </row>
    <row r="449" spans="1:20" x14ac:dyDescent="0.25">
      <c r="A449">
        <v>22000077</v>
      </c>
      <c r="B449" t="s">
        <v>10</v>
      </c>
      <c r="C449" t="s">
        <v>9</v>
      </c>
      <c r="D449">
        <v>38</v>
      </c>
      <c r="E449">
        <v>43</v>
      </c>
      <c r="F449">
        <v>5</v>
      </c>
      <c r="G449">
        <v>2</v>
      </c>
      <c r="H449" s="1">
        <v>2.0601851851851853E-3</v>
      </c>
      <c r="I449">
        <v>2020</v>
      </c>
      <c r="J449" t="s">
        <v>59</v>
      </c>
      <c r="K449" s="2" t="str">
        <f>HYPERLINK("https://www.nba.com/stats/events?CFID=&amp;CFPARAMS=&amp;GameEventID=305&amp;GameID=0022000077&amp;Season=2020-21&amp;flag=1&amp;title=P.%20George%2025'%203PT%20%20(12%20PTS)%20(K.%20Leonard%205%20AST)", "P. George 25' 3PT  (12 PTS) (K. Leonard 5 AST)")</f>
        <v>P. George 25' 3PT  (12 PTS) (K. Leonard 5 AST)</v>
      </c>
      <c r="L449" s="2" t="str">
        <f>HYPERLINK("https://www.nba.com/game/...-vs-...-0022000077/play-by-play?watchFullGame=true", "LAC vs UTA - Q2 02:58.00")</f>
        <v>LAC vs UTA - Q2 02:58.00</v>
      </c>
      <c r="M449">
        <v>25.48</v>
      </c>
      <c r="N449">
        <v>28.73</v>
      </c>
      <c r="O449">
        <v>76.540000000000006</v>
      </c>
      <c r="P449">
        <v>-133</v>
      </c>
      <c r="Q449">
        <v>218</v>
      </c>
      <c r="R449">
        <v>28</v>
      </c>
      <c r="S449">
        <v>76</v>
      </c>
      <c r="T449" t="s">
        <v>73</v>
      </c>
    </row>
    <row r="450" spans="1:20" x14ac:dyDescent="0.25">
      <c r="A450">
        <v>22000989</v>
      </c>
      <c r="B450" t="s">
        <v>10</v>
      </c>
      <c r="C450" t="s">
        <v>9</v>
      </c>
      <c r="D450">
        <v>105</v>
      </c>
      <c r="E450">
        <v>100</v>
      </c>
      <c r="F450">
        <v>5</v>
      </c>
      <c r="G450">
        <v>4</v>
      </c>
      <c r="H450" s="1">
        <v>7.6388888888888893E-4</v>
      </c>
      <c r="I450">
        <v>2020</v>
      </c>
      <c r="J450" t="s">
        <v>59</v>
      </c>
      <c r="K450" s="2" t="str">
        <f>HYPERLINK("https://www.nba.com/stats/events?CFID=&amp;CFPARAMS=&amp;GameEventID=572&amp;GameID=0022000989&amp;Season=2020-21&amp;flag=1&amp;title=R.%20Jackson%2024'%203PT%20%20(18%20PTS)%20(K.%20Leonard%205%20AST)", "R. Jackson 24' 3PT  (18 PTS) (K. Leonard 5 AST)")</f>
        <v>R. Jackson 24' 3PT  (18 PTS) (K. Leonard 5 AST)</v>
      </c>
      <c r="L450" s="2" t="str">
        <f>HYPERLINK("https://www.nba.com/game/...-vs-...-0022000989/play-by-play?watchFullGame=true", "LAC vs TOR - Q4 01:06.00")</f>
        <v>LAC vs TOR - Q4 01:06.00</v>
      </c>
      <c r="M450">
        <v>24.83</v>
      </c>
      <c r="N450">
        <v>28.47</v>
      </c>
      <c r="O450">
        <v>74.819999999999993</v>
      </c>
      <c r="P450">
        <v>-124</v>
      </c>
      <c r="Q450">
        <v>215</v>
      </c>
      <c r="R450">
        <v>28</v>
      </c>
      <c r="S450">
        <v>74</v>
      </c>
      <c r="T450" t="s">
        <v>73</v>
      </c>
    </row>
    <row r="451" spans="1:20" x14ac:dyDescent="0.25">
      <c r="A451">
        <v>22000775</v>
      </c>
      <c r="B451" t="s">
        <v>10</v>
      </c>
      <c r="C451" t="s">
        <v>9</v>
      </c>
      <c r="D451">
        <v>87</v>
      </c>
      <c r="E451">
        <v>82</v>
      </c>
      <c r="F451">
        <v>5</v>
      </c>
      <c r="G451">
        <v>3</v>
      </c>
      <c r="H451" s="1">
        <v>3.6689814814814814E-3</v>
      </c>
      <c r="I451">
        <v>2020</v>
      </c>
      <c r="J451" t="s">
        <v>59</v>
      </c>
      <c r="K451" s="2" t="str">
        <f>HYPERLINK("https://www.nba.com/stats/events?CFID=&amp;CFPARAMS=&amp;GameEventID=404&amp;GameID=0022000775&amp;Season=2020-21&amp;flag=1&amp;title=R.%20Jackson%2025'%203PT%20%20(10%20PTS)%20(K.%20Leonard%206%20AST)", "R. Jackson 25' 3PT  (10 PTS) (K. Leonard 6 AST)")</f>
        <v>R. Jackson 25' 3PT  (10 PTS) (K. Leonard 6 AST)</v>
      </c>
      <c r="L451" s="2" t="str">
        <f>HYPERLINK("https://www.nba.com/game/...-vs-...-0022000775/play-by-play?watchFullGame=true", "LAC vs POR - Q3 05:17.00")</f>
        <v>LAC vs POR - Q3 05:17.00</v>
      </c>
      <c r="M451">
        <v>25.87</v>
      </c>
      <c r="N451">
        <v>28.2</v>
      </c>
      <c r="O451">
        <v>79.48</v>
      </c>
      <c r="P451">
        <v>-147</v>
      </c>
      <c r="Q451">
        <v>213</v>
      </c>
      <c r="R451">
        <v>28</v>
      </c>
      <c r="S451">
        <v>79</v>
      </c>
      <c r="T451" t="s">
        <v>73</v>
      </c>
    </row>
    <row r="452" spans="1:20" x14ac:dyDescent="0.25">
      <c r="A452">
        <v>22300770</v>
      </c>
      <c r="B452" t="s">
        <v>10</v>
      </c>
      <c r="C452" t="s">
        <v>9</v>
      </c>
      <c r="D452">
        <v>5</v>
      </c>
      <c r="E452">
        <v>6</v>
      </c>
      <c r="F452">
        <v>1</v>
      </c>
      <c r="G452">
        <v>1</v>
      </c>
      <c r="H452" s="1">
        <v>6.8171296296296296E-3</v>
      </c>
      <c r="I452">
        <v>2023</v>
      </c>
      <c r="J452" t="s">
        <v>59</v>
      </c>
      <c r="K452" s="2" t="str">
        <f>HYPERLINK("https://www.nba.com/stats/events?CFID=&amp;CFPARAMS=&amp;GameEventID=30&amp;GameID=0022300770&amp;Season=2023-24&amp;flag=1&amp;title=J.%20Harden%2026'%203PT%20%20(5%20PTS)%20(K.%20Leonard%201%20AST)", "J. Harden 26' 3PT  (5 PTS) (K. Leonard 1 AST)")</f>
        <v>J. Harden 26' 3PT  (5 PTS) (K. Leonard 1 AST)</v>
      </c>
      <c r="L452" s="2" t="str">
        <f>HYPERLINK("https://www.nba.com/game/...-vs-...-0022300770/play-by-play?watchFullGame=true", "LAC vs MIN - Q1 09:49.00")</f>
        <v>LAC vs MIN - Q1 09:49.00</v>
      </c>
      <c r="M452">
        <v>26.71</v>
      </c>
      <c r="N452">
        <v>28.3</v>
      </c>
      <c r="O452">
        <v>17.89</v>
      </c>
      <c r="P452">
        <v>161</v>
      </c>
      <c r="Q452">
        <v>214</v>
      </c>
      <c r="R452">
        <v>28</v>
      </c>
      <c r="S452">
        <v>17</v>
      </c>
      <c r="T452" t="s">
        <v>73</v>
      </c>
    </row>
    <row r="453" spans="1:20" x14ac:dyDescent="0.25">
      <c r="A453">
        <v>22000966</v>
      </c>
      <c r="B453" t="s">
        <v>10</v>
      </c>
      <c r="C453" t="s">
        <v>9</v>
      </c>
      <c r="D453">
        <v>96</v>
      </c>
      <c r="E453">
        <v>101</v>
      </c>
      <c r="F453">
        <v>5</v>
      </c>
      <c r="G453">
        <v>4</v>
      </c>
      <c r="H453" s="1">
        <v>1.9328703703703704E-3</v>
      </c>
      <c r="I453">
        <v>2020</v>
      </c>
      <c r="J453" t="s">
        <v>59</v>
      </c>
      <c r="K453" s="2" t="str">
        <f>HYPERLINK("https://www.nba.com/stats/events?CFID=&amp;CFPARAMS=&amp;GameEventID=563&amp;GameID=0022000966&amp;Season=2020-21&amp;flag=1&amp;title=D.%20Cousins%2026'%203PT%20%20(13%20PTS)%20(K.%20Leonard%205%20AST)", "D. Cousins 26' 3PT  (13 PTS) (K. Leonard 5 AST)")</f>
        <v>D. Cousins 26' 3PT  (13 PTS) (K. Leonard 5 AST)</v>
      </c>
      <c r="L453" s="2" t="str">
        <f>HYPERLINK("https://www.nba.com/game/...-vs-...-0022000966/play-by-play?watchFullGame=true", "LAC vs DEN - Q4 02:47.00")</f>
        <v>LAC vs DEN - Q4 02:47.00</v>
      </c>
      <c r="M453">
        <v>26.64</v>
      </c>
      <c r="N453">
        <v>28.07</v>
      </c>
      <c r="O453">
        <v>82.42</v>
      </c>
      <c r="P453">
        <v>-162</v>
      </c>
      <c r="Q453">
        <v>211</v>
      </c>
      <c r="R453">
        <v>28</v>
      </c>
      <c r="S453">
        <v>82</v>
      </c>
      <c r="T453" t="s">
        <v>73</v>
      </c>
    </row>
    <row r="454" spans="1:20" x14ac:dyDescent="0.25">
      <c r="A454">
        <v>22200389</v>
      </c>
      <c r="B454" t="s">
        <v>10</v>
      </c>
      <c r="C454" t="s">
        <v>9</v>
      </c>
      <c r="D454">
        <v>110</v>
      </c>
      <c r="E454">
        <v>107</v>
      </c>
      <c r="F454">
        <v>3</v>
      </c>
      <c r="G454">
        <v>4</v>
      </c>
      <c r="H454" s="1">
        <v>2.7546296296296298E-4</v>
      </c>
      <c r="I454">
        <v>2022</v>
      </c>
      <c r="J454" t="s">
        <v>59</v>
      </c>
      <c r="K454" s="2" t="str">
        <f>HYPERLINK("https://www.nba.com/stats/events?CFID=&amp;CFPARAMS=&amp;GameEventID=622&amp;GameID=0022200389&amp;Season=2022-23&amp;flag=1&amp;title=N.%20Batum%2027'%203PT%20%20(12%20PTS)%20(K.%20Leonard%206%20AST)", "N. Batum 27' 3PT  (12 PTS) (K. Leonard 6 AST)")</f>
        <v>N. Batum 27' 3PT  (12 PTS) (K. Leonard 6 AST)</v>
      </c>
      <c r="L454" s="2" t="str">
        <f>HYPERLINK("https://www.nba.com/game/...-vs-...-0022200389/play-by-play?watchFullGame=true", "LAC vs WAS - Q4 00:23.80")</f>
        <v>LAC vs WAS - Q4 00:23.80</v>
      </c>
      <c r="M454">
        <v>27.16</v>
      </c>
      <c r="N454">
        <v>28.6</v>
      </c>
      <c r="O454">
        <v>17.16</v>
      </c>
      <c r="P454">
        <v>164</v>
      </c>
      <c r="Q454">
        <v>216</v>
      </c>
      <c r="R454">
        <v>28</v>
      </c>
      <c r="S454">
        <v>17</v>
      </c>
      <c r="T454" t="s">
        <v>73</v>
      </c>
    </row>
    <row r="455" spans="1:20" x14ac:dyDescent="0.25">
      <c r="A455">
        <v>22300749</v>
      </c>
      <c r="B455" t="s">
        <v>10</v>
      </c>
      <c r="C455" t="s">
        <v>9</v>
      </c>
      <c r="D455">
        <v>104</v>
      </c>
      <c r="E455">
        <v>94</v>
      </c>
      <c r="F455">
        <v>10</v>
      </c>
      <c r="G455">
        <v>4</v>
      </c>
      <c r="H455" s="1">
        <v>2.8356481481481483E-3</v>
      </c>
      <c r="I455">
        <v>2023</v>
      </c>
      <c r="J455" t="s">
        <v>59</v>
      </c>
      <c r="K455" s="2" t="str">
        <f>HYPERLINK("https://www.nba.com/stats/events?CFID=&amp;CFPARAMS=&amp;GameEventID=583&amp;GameID=0022300749&amp;Season=2023-24&amp;flag=1&amp;title=P.%20George%2026'%203PT%20%20(28%20PTS)%20(K.%20Leonard%204%20AST)", "P. George 26' 3PT  (28 PTS) (K. Leonard 4 AST)")</f>
        <v>P. George 26' 3PT  (28 PTS) (K. Leonard 4 AST)</v>
      </c>
      <c r="L455" s="2" t="str">
        <f>HYPERLINK("https://www.nba.com/game/...-vs-...-0022300749/play-by-play?watchFullGame=true", "LAC vs DET - Q4 04:05.00")</f>
        <v>LAC vs DET - Q4 04:05.00</v>
      </c>
      <c r="M455">
        <v>26.39</v>
      </c>
      <c r="N455">
        <v>28.73</v>
      </c>
      <c r="O455">
        <v>20.100000000000001</v>
      </c>
      <c r="P455">
        <v>150</v>
      </c>
      <c r="Q455">
        <v>218</v>
      </c>
      <c r="R455">
        <v>28</v>
      </c>
      <c r="S455">
        <v>20</v>
      </c>
      <c r="T455" t="s">
        <v>73</v>
      </c>
    </row>
    <row r="456" spans="1:20" x14ac:dyDescent="0.25">
      <c r="A456">
        <v>22301043</v>
      </c>
      <c r="B456" t="s">
        <v>10</v>
      </c>
      <c r="C456" t="s">
        <v>9</v>
      </c>
      <c r="D456">
        <v>18</v>
      </c>
      <c r="E456">
        <v>16</v>
      </c>
      <c r="F456">
        <v>2</v>
      </c>
      <c r="G456">
        <v>1</v>
      </c>
      <c r="H456" s="1">
        <v>3.5648148148148149E-3</v>
      </c>
      <c r="I456">
        <v>2023</v>
      </c>
      <c r="J456" t="s">
        <v>59</v>
      </c>
      <c r="K456" s="2" t="str">
        <f>HYPERLINK("https://www.nba.com/stats/events?CFID=&amp;CFPARAMS=&amp;GameEventID=73&amp;GameID=0022301043&amp;Season=2023-24&amp;flag=1&amp;title=N.%20Powell%2024'%203PT%20pullup%20(3%20PTS)%20(K.%20Leonard%201%20AST)", "N. Powell 24' 3PT pullup (3 PTS) (K. Leonard 1 AST)")</f>
        <v>N. Powell 24' 3PT pullup (3 PTS) (K. Leonard 1 AST)</v>
      </c>
      <c r="L456" s="2" t="str">
        <f>HYPERLINK("https://www.nba.com/game/...-vs-...-0022301043/play-by-play?watchFullGame=true", "LAC vs IND - Q1 05:08.00")</f>
        <v>LAC vs IND - Q1 05:08.00</v>
      </c>
      <c r="M456">
        <v>24.81</v>
      </c>
      <c r="N456">
        <v>28.96</v>
      </c>
      <c r="O456">
        <v>73.040000000000006</v>
      </c>
      <c r="P456">
        <v>-115</v>
      </c>
      <c r="Q456">
        <v>220</v>
      </c>
      <c r="R456">
        <v>28</v>
      </c>
      <c r="S456">
        <v>73</v>
      </c>
      <c r="T456" t="s">
        <v>73</v>
      </c>
    </row>
    <row r="457" spans="1:20" x14ac:dyDescent="0.25">
      <c r="A457">
        <v>22201129</v>
      </c>
      <c r="B457" t="s">
        <v>10</v>
      </c>
      <c r="C457" t="s">
        <v>9</v>
      </c>
      <c r="D457">
        <v>57</v>
      </c>
      <c r="E457">
        <v>48</v>
      </c>
      <c r="F457">
        <v>9</v>
      </c>
      <c r="G457">
        <v>2</v>
      </c>
      <c r="H457" s="1">
        <v>1.6898148148148148E-3</v>
      </c>
      <c r="I457">
        <v>2022</v>
      </c>
      <c r="J457" t="s">
        <v>59</v>
      </c>
      <c r="K457" s="2" t="str">
        <f>HYPERLINK("https://www.nba.com/stats/events?CFID=&amp;CFPARAMS=&amp;GameEventID=271&amp;GameID=0022201129&amp;Season=2022-23&amp;flag=1&amp;title=N.%20Batum%2027'%203PT%20%20(15%20PTS)%20(K.%20Leonard%203%20AST)", "N. Batum 27' 3PT  (15 PTS) (K. Leonard 3 AST)")</f>
        <v>N. Batum 27' 3PT  (15 PTS) (K. Leonard 3 AST)</v>
      </c>
      <c r="L457" s="2" t="str">
        <f>HYPERLINK("https://www.nba.com/game/...-vs-...-0022201129/play-by-play?watchFullGame=true", "LAC vs CHI - Q2 02:26.00")</f>
        <v>LAC vs CHI - Q2 02:26.00</v>
      </c>
      <c r="M457">
        <v>27.07</v>
      </c>
      <c r="N457">
        <v>28.96</v>
      </c>
      <c r="O457">
        <v>81.62</v>
      </c>
      <c r="P457">
        <v>-158</v>
      </c>
      <c r="Q457">
        <v>220</v>
      </c>
      <c r="R457">
        <v>28</v>
      </c>
      <c r="S457">
        <v>81</v>
      </c>
      <c r="T457" t="s">
        <v>73</v>
      </c>
    </row>
    <row r="458" spans="1:20" x14ac:dyDescent="0.25">
      <c r="A458">
        <v>42000221</v>
      </c>
      <c r="B458" t="s">
        <v>10</v>
      </c>
      <c r="C458" t="s">
        <v>9</v>
      </c>
      <c r="D458">
        <v>57</v>
      </c>
      <c r="E458">
        <v>44</v>
      </c>
      <c r="F458">
        <v>13</v>
      </c>
      <c r="G458">
        <v>2</v>
      </c>
      <c r="H458" s="1">
        <v>1.7939814814814815E-3</v>
      </c>
      <c r="I458" t="s">
        <v>71</v>
      </c>
      <c r="J458" t="s">
        <v>59</v>
      </c>
      <c r="K458" s="2" t="str">
        <f>HYPERLINK("https://www.nba.com/stats/events?CFID=&amp;CFPARAMS=&amp;GameEventID=310&amp;GameID=0042000221&amp;Season=2020-21&amp;flag=1&amp;title=R.%20Jackson%2026'%203PT%20pullup%20(9%20PTS)%20(K.%20Leonard%203%20AST)", "R. Jackson 26' 3PT pullup (9 PTS) (K. Leonard 3 AST)")</f>
        <v>R. Jackson 26' 3PT pullup (9 PTS) (K. Leonard 3 AST)</v>
      </c>
      <c r="L458" s="2" t="str">
        <f>HYPERLINK("https://www.nba.com/game/...-vs-...-0042000221/play-by-play?watchFullGame=true", "LAC vs UTA - Q2 02:35.00")</f>
        <v>LAC vs UTA - Q2 02:35.00</v>
      </c>
      <c r="M458">
        <v>26.75</v>
      </c>
      <c r="N458">
        <v>28.47</v>
      </c>
      <c r="O458">
        <v>18.21</v>
      </c>
      <c r="P458">
        <v>28</v>
      </c>
      <c r="Q458">
        <v>18</v>
      </c>
      <c r="R458">
        <v>28</v>
      </c>
      <c r="S458">
        <v>18</v>
      </c>
      <c r="T458" t="s">
        <v>73</v>
      </c>
    </row>
    <row r="459" spans="1:20" x14ac:dyDescent="0.25">
      <c r="A459">
        <v>21900485</v>
      </c>
      <c r="B459" t="s">
        <v>10</v>
      </c>
      <c r="C459" t="s">
        <v>61</v>
      </c>
      <c r="D459">
        <v>39</v>
      </c>
      <c r="E459">
        <v>34</v>
      </c>
      <c r="F459">
        <v>5</v>
      </c>
      <c r="G459">
        <v>2</v>
      </c>
      <c r="H459" s="1">
        <v>6.2268518518518515E-3</v>
      </c>
      <c r="I459">
        <v>2019</v>
      </c>
      <c r="J459" t="s">
        <v>59</v>
      </c>
      <c r="K459" s="2" t="str">
        <f>HYPERLINK("https://www.nba.com/stats/events?CFID=&amp;CFPARAMS=&amp;GameEventID=192&amp;GameID=0021900485&amp;Season=2019-20&amp;flag=1&amp;title=L.%20Shamet%2027'%203PT%20%20(6%20PTS)%20(K.%20Leonard%202%20AST)", "L. Shamet 27' 3PT  (6 PTS) (K. Leonard 2 AST)")</f>
        <v>L. Shamet 27' 3PT  (6 PTS) (K. Leonard 2 AST)</v>
      </c>
      <c r="L459" s="2" t="str">
        <f>HYPERLINK("https://www.nba.com/game/...-vs-...-0021900485/play-by-play?watchFullGame=true", "LAC vs UTA - Q2 08:58.00")</f>
        <v>LAC vs UTA - Q2 08:58.00</v>
      </c>
      <c r="M459">
        <v>27.46</v>
      </c>
      <c r="N459">
        <v>28.43</v>
      </c>
      <c r="O459">
        <v>82.77</v>
      </c>
      <c r="P459">
        <v>-164</v>
      </c>
      <c r="Q459">
        <v>215</v>
      </c>
      <c r="R459">
        <v>28</v>
      </c>
      <c r="S459">
        <v>82</v>
      </c>
      <c r="T459" t="s">
        <v>73</v>
      </c>
    </row>
    <row r="460" spans="1:20" x14ac:dyDescent="0.25">
      <c r="A460">
        <v>22300618</v>
      </c>
      <c r="B460" t="s">
        <v>10</v>
      </c>
      <c r="C460" t="s">
        <v>9</v>
      </c>
      <c r="D460">
        <v>122</v>
      </c>
      <c r="E460">
        <v>112</v>
      </c>
      <c r="F460">
        <v>10</v>
      </c>
      <c r="G460">
        <v>4</v>
      </c>
      <c r="H460" s="1">
        <v>2.4074074074074076E-3</v>
      </c>
      <c r="I460">
        <v>2023</v>
      </c>
      <c r="J460" t="s">
        <v>59</v>
      </c>
      <c r="K460" s="2" t="str">
        <f>HYPERLINK("https://www.nba.com/stats/events?CFID=&amp;CFPARAMS=&amp;GameEventID=593&amp;GameID=0022300618&amp;Season=2023-24&amp;flag=1&amp;title=A.%20Coffey%2028'%203PT%20%20(9%20PTS)%20(K.%20Leonard%2010%20AST)", "A. Coffey 28' 3PT  (9 PTS) (K. Leonard 10 AST)")</f>
        <v>A. Coffey 28' 3PT  (9 PTS) (K. Leonard 10 AST)</v>
      </c>
      <c r="L460" s="2" t="str">
        <f>HYPERLINK("https://www.nba.com/game/...-vs-...-0022300618/play-by-play?watchFullGame=true", "LAC vs LAL - Q4 03:28.00")</f>
        <v>LAC vs LAL - Q4 03:28.00</v>
      </c>
      <c r="M460">
        <v>28.15</v>
      </c>
      <c r="N460">
        <v>29.62</v>
      </c>
      <c r="O460">
        <v>83.58</v>
      </c>
      <c r="P460">
        <v>-168</v>
      </c>
      <c r="Q460">
        <v>226</v>
      </c>
      <c r="R460">
        <v>29</v>
      </c>
      <c r="S460">
        <v>83</v>
      </c>
      <c r="T460" t="s">
        <v>73</v>
      </c>
    </row>
    <row r="461" spans="1:20" x14ac:dyDescent="0.25">
      <c r="A461">
        <v>22400911</v>
      </c>
      <c r="B461" t="s">
        <v>10</v>
      </c>
      <c r="C461" t="s">
        <v>9</v>
      </c>
      <c r="D461">
        <v>88</v>
      </c>
      <c r="E461">
        <v>80</v>
      </c>
      <c r="F461">
        <v>8</v>
      </c>
      <c r="G461">
        <v>4</v>
      </c>
      <c r="H461" s="1">
        <v>5.5671296296296293E-3</v>
      </c>
      <c r="I461">
        <v>2024</v>
      </c>
      <c r="J461" t="s">
        <v>59</v>
      </c>
      <c r="K461" s="2" t="str">
        <f>HYPERLINK("https://www.nba.com/stats/events?CFID=&amp;CFPARAMS=&amp;GameEventID=494&amp;GameID=0022400911&amp;Season=2024-25&amp;flag=1&amp;title=D.%20Jones%20Jr.%2026'%203PT%20%20(9%20PTS)%20(K.%20Leonard%206%20AST)", "D. Jones Jr. 26' 3PT  (9 PTS) (K. Leonard 6 AST)")</f>
        <v>D. Jones Jr. 26' 3PT  (9 PTS) (K. Leonard 6 AST)</v>
      </c>
      <c r="L461" s="2" t="str">
        <f>HYPERLINK("https://www.nba.com/game/...-vs-...-0022400911/play-by-play?watchFullGame=true", "LAC vs NYK - Q4 08:01.00")</f>
        <v>LAC vs NYK - Q4 08:01.00</v>
      </c>
      <c r="M461">
        <v>26.64</v>
      </c>
      <c r="N461">
        <v>29.12</v>
      </c>
      <c r="O461">
        <v>79.66</v>
      </c>
      <c r="P461">
        <v>-148</v>
      </c>
      <c r="Q461">
        <v>221</v>
      </c>
      <c r="R461">
        <v>29</v>
      </c>
      <c r="S461">
        <v>79</v>
      </c>
      <c r="T461" t="s">
        <v>73</v>
      </c>
    </row>
    <row r="462" spans="1:20" x14ac:dyDescent="0.25">
      <c r="A462">
        <v>22001047</v>
      </c>
      <c r="B462" t="s">
        <v>10</v>
      </c>
      <c r="C462" t="s">
        <v>9</v>
      </c>
      <c r="D462">
        <v>5</v>
      </c>
      <c r="E462">
        <v>6</v>
      </c>
      <c r="F462">
        <v>1</v>
      </c>
      <c r="G462">
        <v>1</v>
      </c>
      <c r="H462" s="1">
        <v>6.1111111111111114E-3</v>
      </c>
      <c r="I462">
        <v>2020</v>
      </c>
      <c r="J462" t="s">
        <v>59</v>
      </c>
      <c r="K462" s="2" t="str">
        <f>HYPERLINK("https://www.nba.com/stats/events?CFID=&amp;CFPARAMS=&amp;GameEventID=36&amp;GameID=0022001047&amp;Season=2020-21&amp;flag=1&amp;title=P.%20George%2026'%203PT%20%20(3%20PTS)%20(K.%20Leonard%202%20AST)", "P. George 26' 3PT  (3 PTS) (K. Leonard 2 AST)")</f>
        <v>P. George 26' 3PT  (3 PTS) (K. Leonard 2 AST)</v>
      </c>
      <c r="L462" s="2" t="str">
        <f>HYPERLINK("https://www.nba.com/game/...-vs-...-0022001047/play-by-play?watchFullGame=true", "LAC vs CHA - Q1 08:48.00")</f>
        <v>LAC vs CHA - Q1 08:48.00</v>
      </c>
      <c r="M462">
        <v>26.66</v>
      </c>
      <c r="N462">
        <v>29.12</v>
      </c>
      <c r="O462">
        <v>79.73</v>
      </c>
      <c r="P462">
        <v>-149</v>
      </c>
      <c r="Q462">
        <v>221</v>
      </c>
      <c r="R462">
        <v>29</v>
      </c>
      <c r="S462">
        <v>79</v>
      </c>
      <c r="T462" t="s">
        <v>73</v>
      </c>
    </row>
    <row r="463" spans="1:20" x14ac:dyDescent="0.25">
      <c r="A463">
        <v>22000308</v>
      </c>
      <c r="B463" t="s">
        <v>10</v>
      </c>
      <c r="C463" t="s">
        <v>9</v>
      </c>
      <c r="D463">
        <v>15</v>
      </c>
      <c r="E463">
        <v>16</v>
      </c>
      <c r="F463">
        <v>1</v>
      </c>
      <c r="G463">
        <v>1</v>
      </c>
      <c r="H463" s="1">
        <v>4.7916666666666663E-3</v>
      </c>
      <c r="I463">
        <v>2020</v>
      </c>
      <c r="J463" t="s">
        <v>59</v>
      </c>
      <c r="K463" s="2" t="str">
        <f>HYPERLINK("https://www.nba.com/stats/events?CFID=&amp;CFPARAMS=&amp;GameEventID=45&amp;GameID=0022000308&amp;Season=2020-21&amp;flag=1&amp;title=P.%20George%2025'%203PT%20%20(3%20PTS)%20(K.%20Leonard%201%20AST)", "P. George 25' 3PT  (3 PTS) (K. Leonard 1 AST)")</f>
        <v>P. George 25' 3PT  (3 PTS) (K. Leonard 1 AST)</v>
      </c>
      <c r="L463" s="2" t="str">
        <f>HYPERLINK("https://www.nba.com/game/...-vs-...-0022000308/play-by-play?watchFullGame=true", "LAC vs NYK - Q1 06:54.00")</f>
        <v>LAC vs NYK - Q1 06:54.00</v>
      </c>
      <c r="M463">
        <v>25.22</v>
      </c>
      <c r="N463">
        <v>29.12</v>
      </c>
      <c r="O463">
        <v>25.8</v>
      </c>
      <c r="P463">
        <v>121</v>
      </c>
      <c r="Q463">
        <v>221</v>
      </c>
      <c r="R463">
        <v>29</v>
      </c>
      <c r="S463">
        <v>25</v>
      </c>
      <c r="T463" t="s">
        <v>73</v>
      </c>
    </row>
    <row r="464" spans="1:20" x14ac:dyDescent="0.25">
      <c r="A464">
        <v>42000224</v>
      </c>
      <c r="B464" t="s">
        <v>10</v>
      </c>
      <c r="C464" t="s">
        <v>9</v>
      </c>
      <c r="D464">
        <v>6</v>
      </c>
      <c r="E464">
        <v>2</v>
      </c>
      <c r="F464">
        <v>4</v>
      </c>
      <c r="G464">
        <v>1</v>
      </c>
      <c r="H464" s="1">
        <v>7.3842592592592597E-3</v>
      </c>
      <c r="I464" t="s">
        <v>71</v>
      </c>
      <c r="J464" t="s">
        <v>59</v>
      </c>
      <c r="K464" s="2" t="str">
        <f>HYPERLINK("https://www.nba.com/stats/events?CFID=&amp;CFPARAMS=&amp;GameEventID=15&amp;GameID=0042000224&amp;Season=2020-21&amp;flag=1&amp;title=M.%20Morris%20Sr.%2026'%203PT%20%20(3%20PTS)%20(K.%20Leonard%201%20AST)", "M. Morris Sr. 26' 3PT  (3 PTS) (K. Leonard 1 AST)")</f>
        <v>M. Morris Sr. 26' 3PT  (3 PTS) (K. Leonard 1 AST)</v>
      </c>
      <c r="L464" s="2" t="str">
        <f>HYPERLINK("https://www.nba.com/game/...-vs-...-0042000224/play-by-play?watchFullGame=true", "LAC vs UTA - Q1 10:38.00")</f>
        <v>LAC vs UTA - Q1 10:38.00</v>
      </c>
      <c r="M464">
        <v>26.9</v>
      </c>
      <c r="N464">
        <v>29.35</v>
      </c>
      <c r="O464">
        <v>20.03</v>
      </c>
      <c r="P464">
        <v>29</v>
      </c>
      <c r="Q464">
        <v>20</v>
      </c>
      <c r="R464">
        <v>29</v>
      </c>
      <c r="S464">
        <v>20</v>
      </c>
      <c r="T464" t="s">
        <v>73</v>
      </c>
    </row>
    <row r="465" spans="1:20" x14ac:dyDescent="0.25">
      <c r="A465">
        <v>22400783</v>
      </c>
      <c r="B465" t="s">
        <v>10</v>
      </c>
      <c r="C465" t="s">
        <v>9</v>
      </c>
      <c r="D465">
        <v>54</v>
      </c>
      <c r="E465">
        <v>53</v>
      </c>
      <c r="F465">
        <v>1</v>
      </c>
      <c r="G465">
        <v>2</v>
      </c>
      <c r="H465" s="1">
        <v>2.8472222222222223E-3</v>
      </c>
      <c r="I465">
        <v>2024</v>
      </c>
      <c r="J465" t="s">
        <v>59</v>
      </c>
      <c r="K465" s="2" t="str">
        <f>HYPERLINK("https://www.nba.com/stats/events?CFID=&amp;CFPARAMS=&amp;GameEventID=287&amp;GameID=0022400783&amp;Season=2024-25&amp;flag=1&amp;title=K.%20Dunn%2026'%203PT%20%20(8%20PTS)%20(K.%20Leonard%202%20AST)", "K. Dunn 26' 3PT  (8 PTS) (K. Leonard 2 AST)")</f>
        <v>K. Dunn 26' 3PT  (8 PTS) (K. Leonard 2 AST)</v>
      </c>
      <c r="L465" s="2" t="str">
        <f>HYPERLINK("https://www.nba.com/game/...-vs-...-0022400783/play-by-play?watchFullGame=true", "LAC vs MEM - Q2 04:06.00")</f>
        <v>LAC vs MEM - Q2 04:06.00</v>
      </c>
      <c r="M465">
        <v>26.71</v>
      </c>
      <c r="N465">
        <v>29.22</v>
      </c>
      <c r="O465">
        <v>20.34</v>
      </c>
      <c r="P465">
        <v>148</v>
      </c>
      <c r="Q465">
        <v>222</v>
      </c>
      <c r="R465">
        <v>29</v>
      </c>
      <c r="S465">
        <v>20</v>
      </c>
      <c r="T465" t="s">
        <v>73</v>
      </c>
    </row>
    <row r="466" spans="1:20" x14ac:dyDescent="0.25">
      <c r="A466">
        <v>22000105</v>
      </c>
      <c r="B466" t="s">
        <v>10</v>
      </c>
      <c r="C466" t="s">
        <v>9</v>
      </c>
      <c r="D466">
        <v>33</v>
      </c>
      <c r="E466">
        <v>54</v>
      </c>
      <c r="F466">
        <v>21</v>
      </c>
      <c r="G466">
        <v>2</v>
      </c>
      <c r="H466" s="1">
        <v>3.6342592592592594E-3</v>
      </c>
      <c r="I466">
        <v>2020</v>
      </c>
      <c r="J466" t="s">
        <v>59</v>
      </c>
      <c r="K466" s="2" t="str">
        <f>HYPERLINK("https://www.nba.com/stats/events?CFID=&amp;CFPARAMS=&amp;GameEventID=242&amp;GameID=0022000105&amp;Season=2020-21&amp;flag=1&amp;title=P.%20Beverley%2025'%203PT%20%20(3%20PTS)%20(K.%20Leonard%203%20AST)", "P. Beverley 25' 3PT  (3 PTS) (K. Leonard 3 AST)")</f>
        <v>P. Beverley 25' 3PT  (3 PTS) (K. Leonard 3 AST)</v>
      </c>
      <c r="L466" s="2" t="str">
        <f>HYPERLINK("https://www.nba.com/game/...-vs-...-0022000105/play-by-play?watchFullGame=true", "LAC vs SAS - Q2 05:14.00")</f>
        <v>LAC vs SAS - Q2 05:14.00</v>
      </c>
      <c r="M466">
        <v>25.88</v>
      </c>
      <c r="N466">
        <v>29.39</v>
      </c>
      <c r="O466">
        <v>76.05</v>
      </c>
      <c r="P466">
        <v>-130</v>
      </c>
      <c r="Q466">
        <v>224</v>
      </c>
      <c r="R466">
        <v>29</v>
      </c>
      <c r="S466">
        <v>76</v>
      </c>
      <c r="T466" t="s">
        <v>73</v>
      </c>
    </row>
    <row r="467" spans="1:20" x14ac:dyDescent="0.25">
      <c r="A467">
        <v>22300160</v>
      </c>
      <c r="B467" t="s">
        <v>10</v>
      </c>
      <c r="C467" t="s">
        <v>9</v>
      </c>
      <c r="D467">
        <v>55</v>
      </c>
      <c r="E467">
        <v>57</v>
      </c>
      <c r="F467">
        <v>2</v>
      </c>
      <c r="G467">
        <v>3</v>
      </c>
      <c r="H467" s="1">
        <v>4.6643518518518518E-3</v>
      </c>
      <c r="I467">
        <v>2023</v>
      </c>
      <c r="J467" t="s">
        <v>59</v>
      </c>
      <c r="K467" s="2" t="str">
        <f>HYPERLINK("https://www.nba.com/stats/events?CFID=&amp;CFPARAMS=&amp;GameEventID=391&amp;GameID=0022300160&amp;Season=2023-24&amp;flag=1&amp;title=J.%20Harden%2025'%203PT%20%20(12%20PTS)%20(K.%20Leonard%202%20AST)", "J. Harden 25' 3PT  (12 PTS) (K. Leonard 2 AST)")</f>
        <v>J. Harden 25' 3PT  (12 PTS) (K. Leonard 2 AST)</v>
      </c>
      <c r="L467" s="2" t="str">
        <f>HYPERLINK("https://www.nba.com/game/...-vs-...-0022300160/play-by-play?watchFullGame=true", "LAC vs BKN - Q3 06:43.00")</f>
        <v>LAC vs BKN - Q3 06:43.00</v>
      </c>
      <c r="M467">
        <v>25.46</v>
      </c>
      <c r="N467">
        <v>29.25</v>
      </c>
      <c r="O467">
        <v>25.25</v>
      </c>
      <c r="P467">
        <v>124</v>
      </c>
      <c r="Q467">
        <v>222</v>
      </c>
      <c r="R467">
        <v>29</v>
      </c>
      <c r="S467">
        <v>25</v>
      </c>
      <c r="T467" t="s">
        <v>73</v>
      </c>
    </row>
    <row r="468" spans="1:20" x14ac:dyDescent="0.25">
      <c r="A468">
        <v>22200255</v>
      </c>
      <c r="B468" t="s">
        <v>10</v>
      </c>
      <c r="C468" t="s">
        <v>9</v>
      </c>
      <c r="D468">
        <v>48</v>
      </c>
      <c r="E468">
        <v>33</v>
      </c>
      <c r="F468">
        <v>15</v>
      </c>
      <c r="G468">
        <v>2</v>
      </c>
      <c r="H468" s="1">
        <v>5.2777777777777779E-3</v>
      </c>
      <c r="I468">
        <v>2022</v>
      </c>
      <c r="J468" t="s">
        <v>59</v>
      </c>
      <c r="K468" s="2" t="str">
        <f>HYPERLINK("https://www.nba.com/stats/events?CFID=&amp;CFPARAMS=&amp;GameEventID=211&amp;GameID=0022200255&amp;Season=2022-23&amp;flag=1&amp;title=J.%20Wall%2027'%203PT%20%20(13%20PTS)%20(K.%20Leonard%202%20AST)", "J. Wall 27' 3PT  (13 PTS) (K. Leonard 2 AST)")</f>
        <v>J. Wall 27' 3PT  (13 PTS) (K. Leonard 2 AST)</v>
      </c>
      <c r="L468" s="2" t="str">
        <f>HYPERLINK("https://www.nba.com/game/...-vs-...-0022200255/play-by-play?watchFullGame=true", "LAC vs UTA - Q2 07:36.00")</f>
        <v>LAC vs UTA - Q2 07:36.00</v>
      </c>
      <c r="M468">
        <v>27.13</v>
      </c>
      <c r="N468">
        <v>30.4</v>
      </c>
      <c r="O468">
        <v>77.7</v>
      </c>
      <c r="P468">
        <v>-138</v>
      </c>
      <c r="Q468">
        <v>233</v>
      </c>
      <c r="R468">
        <v>30</v>
      </c>
      <c r="S468">
        <v>77</v>
      </c>
      <c r="T468" t="s">
        <v>73</v>
      </c>
    </row>
    <row r="469" spans="1:20" x14ac:dyDescent="0.25">
      <c r="A469">
        <v>21900157</v>
      </c>
      <c r="B469" t="s">
        <v>10</v>
      </c>
      <c r="C469" t="s">
        <v>61</v>
      </c>
      <c r="D469">
        <v>62</v>
      </c>
      <c r="E469">
        <v>69</v>
      </c>
      <c r="F469">
        <v>7</v>
      </c>
      <c r="G469">
        <v>3</v>
      </c>
      <c r="H469" s="1">
        <v>1.3657407407407407E-3</v>
      </c>
      <c r="I469">
        <v>2019</v>
      </c>
      <c r="J469" t="s">
        <v>59</v>
      </c>
      <c r="K469" s="2" t="str">
        <f>HYPERLINK("https://www.nba.com/stats/events?CFID=&amp;CFPARAMS=&amp;GameEventID=476&amp;GameID=0021900157&amp;Season=2019-20&amp;flag=1&amp;title=J.%20Green%2028'%203PT%20%20(3%20PTS)%20(K.%20Leonard%205%20AST)", "J. Green 28' 3PT  (3 PTS) (K. Leonard 5 AST)")</f>
        <v>J. Green 28' 3PT  (3 PTS) (K. Leonard 5 AST)</v>
      </c>
      <c r="L469" s="2" t="str">
        <f>HYPERLINK("https://www.nba.com/game/...-vs-...-0021900157/play-by-play?watchFullGame=true", "LAC vs HOU - Q3 01:58.00")</f>
        <v>LAC vs HOU - Q3 01:58.00</v>
      </c>
      <c r="M469">
        <v>27.75</v>
      </c>
      <c r="N469">
        <v>30.4</v>
      </c>
      <c r="O469">
        <v>21.74</v>
      </c>
      <c r="P469">
        <v>141</v>
      </c>
      <c r="Q469">
        <v>233</v>
      </c>
      <c r="R469">
        <v>30</v>
      </c>
      <c r="S469">
        <v>21</v>
      </c>
      <c r="T469" t="s">
        <v>73</v>
      </c>
    </row>
    <row r="470" spans="1:20" x14ac:dyDescent="0.25">
      <c r="A470">
        <v>22300600</v>
      </c>
      <c r="B470" t="s">
        <v>10</v>
      </c>
      <c r="C470" t="s">
        <v>9</v>
      </c>
      <c r="D470">
        <v>15</v>
      </c>
      <c r="E470">
        <v>18</v>
      </c>
      <c r="F470">
        <v>3</v>
      </c>
      <c r="G470">
        <v>1</v>
      </c>
      <c r="H470" s="1">
        <v>2.9513888888888888E-3</v>
      </c>
      <c r="I470">
        <v>2023</v>
      </c>
      <c r="J470" t="s">
        <v>59</v>
      </c>
      <c r="K470" s="2" t="str">
        <f>HYPERLINK("https://www.nba.com/stats/events?CFID=&amp;CFPARAMS=&amp;GameEventID=92&amp;GameID=0022300600&amp;Season=2023-24&amp;flag=1&amp;title=N.%20Powell%2026'%203PT%20%20(3%20PTS)%20(K.%20Leonard%201%20AST)", "N. Powell 26' 3PT  (3 PTS) (K. Leonard 1 AST)")</f>
        <v>N. Powell 26' 3PT  (3 PTS) (K. Leonard 1 AST)</v>
      </c>
      <c r="L470" s="2" t="str">
        <f>HYPERLINK("https://www.nba.com/game/...-vs-...-0022300600/play-by-play?watchFullGame=true", "LAC vs BKN - Q1 04:15.00")</f>
        <v>LAC vs BKN - Q1 04:15.00</v>
      </c>
      <c r="M470">
        <v>26.56</v>
      </c>
      <c r="N470">
        <v>30.01</v>
      </c>
      <c r="O470">
        <v>76.72</v>
      </c>
      <c r="P470">
        <v>-134</v>
      </c>
      <c r="Q470">
        <v>230</v>
      </c>
      <c r="R470">
        <v>30</v>
      </c>
      <c r="S470">
        <v>76</v>
      </c>
      <c r="T470" t="s">
        <v>73</v>
      </c>
    </row>
    <row r="471" spans="1:20" x14ac:dyDescent="0.25">
      <c r="A471">
        <v>22000717</v>
      </c>
      <c r="B471" t="s">
        <v>10</v>
      </c>
      <c r="C471" t="s">
        <v>9</v>
      </c>
      <c r="D471">
        <v>26</v>
      </c>
      <c r="E471">
        <v>25</v>
      </c>
      <c r="F471">
        <v>1</v>
      </c>
      <c r="G471">
        <v>1</v>
      </c>
      <c r="H471" s="1">
        <v>2.1064814814814813E-3</v>
      </c>
      <c r="I471">
        <v>2020</v>
      </c>
      <c r="J471" t="s">
        <v>59</v>
      </c>
      <c r="K471" s="2" t="str">
        <f>HYPERLINK("https://www.nba.com/stats/events?CFID=&amp;CFPARAMS=&amp;GameEventID=108&amp;GameID=0022000717&amp;Season=2020-21&amp;flag=1&amp;title=P.%20Patterson%2026'%203PT%20%20(3%20PTS)%20(K.%20Leonard%204%20AST)", "P. Patterson 26' 3PT  (3 PTS) (K. Leonard 4 AST)")</f>
        <v>P. Patterson 26' 3PT  (3 PTS) (K. Leonard 4 AST)</v>
      </c>
      <c r="L471" s="2" t="str">
        <f>HYPERLINK("https://www.nba.com/game/...-vs-...-0022000717/play-by-play?watchFullGame=true", "LAC vs MIL - Q1 03:02.00")</f>
        <v>LAC vs MIL - Q1 03:02.00</v>
      </c>
      <c r="M471">
        <v>26.01</v>
      </c>
      <c r="N471">
        <v>30.31</v>
      </c>
      <c r="O471">
        <v>73.349999999999994</v>
      </c>
      <c r="P471">
        <v>-117</v>
      </c>
      <c r="Q471">
        <v>232</v>
      </c>
      <c r="R471">
        <v>30</v>
      </c>
      <c r="S471">
        <v>73</v>
      </c>
      <c r="T471" t="s">
        <v>73</v>
      </c>
    </row>
    <row r="472" spans="1:20" x14ac:dyDescent="0.25">
      <c r="A472">
        <v>22300244</v>
      </c>
      <c r="B472" t="s">
        <v>10</v>
      </c>
      <c r="C472" t="s">
        <v>9</v>
      </c>
      <c r="D472">
        <v>68</v>
      </c>
      <c r="E472">
        <v>50</v>
      </c>
      <c r="F472">
        <v>18</v>
      </c>
      <c r="G472">
        <v>3</v>
      </c>
      <c r="H472" s="1">
        <v>4.9652777777777777E-3</v>
      </c>
      <c r="I472">
        <v>2023</v>
      </c>
      <c r="J472" t="s">
        <v>59</v>
      </c>
      <c r="K472" s="2" t="str">
        <f>HYPERLINK("https://www.nba.com/stats/events?CFID=&amp;CFPARAMS=&amp;GameEventID=409&amp;GameID=0022300244&amp;Season=2023-24&amp;flag=1&amp;title=J.%20Harden%2025'%203PT%20step%20back%20(8%20PTS)%20(K.%20Leonard%203%20AST)", "J. Harden 25' 3PT step back (8 PTS) (K. Leonard 3 AST)")</f>
        <v>J. Harden 25' 3PT step back (8 PTS) (K. Leonard 3 AST)</v>
      </c>
      <c r="L472" s="2" t="str">
        <f>HYPERLINK("https://www.nba.com/game/...-vs-...-0022300244/play-by-play?watchFullGame=true", "LAC vs DAL - Q3 07:09.00")</f>
        <v>LAC vs DAL - Q3 07:09.00</v>
      </c>
      <c r="M472">
        <v>25.42</v>
      </c>
      <c r="N472">
        <v>30.01</v>
      </c>
      <c r="O472">
        <v>28.19</v>
      </c>
      <c r="P472">
        <v>109</v>
      </c>
      <c r="Q472">
        <v>230</v>
      </c>
      <c r="R472">
        <v>30</v>
      </c>
      <c r="S472">
        <v>28</v>
      </c>
      <c r="T472" t="s">
        <v>73</v>
      </c>
    </row>
    <row r="473" spans="1:20" x14ac:dyDescent="0.25">
      <c r="A473">
        <v>22000400</v>
      </c>
      <c r="B473" t="s">
        <v>10</v>
      </c>
      <c r="C473" t="s">
        <v>9</v>
      </c>
      <c r="D473">
        <v>72</v>
      </c>
      <c r="E473">
        <v>63</v>
      </c>
      <c r="F473">
        <v>9</v>
      </c>
      <c r="G473">
        <v>3</v>
      </c>
      <c r="H473" s="1">
        <v>5.7407407407407407E-3</v>
      </c>
      <c r="I473">
        <v>2020</v>
      </c>
      <c r="J473" t="s">
        <v>59</v>
      </c>
      <c r="K473" s="2" t="str">
        <f>HYPERLINK("https://www.nba.com/stats/events?CFID=&amp;CFPARAMS=&amp;GameEventID=339&amp;GameID=0022000400&amp;Season=2020-21&amp;flag=1&amp;title=P.%20Beverley%2024'%203PT%20%20(6%20PTS)%20(K.%20Leonard%202%20AST)", "P. Beverley 24' 3PT  (6 PTS) (K. Leonard 2 AST)")</f>
        <v>P. Beverley 24' 3PT  (6 PTS) (K. Leonard 2 AST)</v>
      </c>
      <c r="L473" s="2" t="str">
        <f>HYPERLINK("https://www.nba.com/game/...-vs-...-0022000400/play-by-play?watchFullGame=true", "LAC vs CHI - Q3 08:16.00")</f>
        <v>LAC vs CHI - Q3 08:16.00</v>
      </c>
      <c r="M473">
        <v>24.89</v>
      </c>
      <c r="N473">
        <v>30.17</v>
      </c>
      <c r="O473">
        <v>68.45</v>
      </c>
      <c r="P473">
        <v>-92</v>
      </c>
      <c r="Q473">
        <v>231</v>
      </c>
      <c r="R473">
        <v>30</v>
      </c>
      <c r="S473">
        <v>68</v>
      </c>
      <c r="T473" t="s">
        <v>73</v>
      </c>
    </row>
    <row r="474" spans="1:20" x14ac:dyDescent="0.25">
      <c r="A474">
        <v>22200970</v>
      </c>
      <c r="B474" t="s">
        <v>10</v>
      </c>
      <c r="C474" t="s">
        <v>9</v>
      </c>
      <c r="D474">
        <v>8</v>
      </c>
      <c r="E474">
        <v>6</v>
      </c>
      <c r="F474">
        <v>2</v>
      </c>
      <c r="G474">
        <v>1</v>
      </c>
      <c r="H474" s="1">
        <v>6.875E-3</v>
      </c>
      <c r="I474">
        <v>2022</v>
      </c>
      <c r="J474" t="s">
        <v>59</v>
      </c>
      <c r="K474" s="2" t="str">
        <f>HYPERLINK("https://www.nba.com/stats/events?CFID=&amp;CFPARAMS=&amp;GameEventID=27&amp;GameID=0022200970&amp;Season=2022-23&amp;flag=1&amp;title=P.%20George%2025'%203PT%20%20(3%20PTS)%20(K.%20Leonard%201%20AST)", "P. George 25' 3PT  (3 PTS) (K. Leonard 1 AST)")</f>
        <v>P. George 25' 3PT  (3 PTS) (K. Leonard 1 AST)</v>
      </c>
      <c r="L474" s="2" t="str">
        <f>HYPERLINK("https://www.nba.com/game/...-vs-...-0022200970/play-by-play?watchFullGame=true", "LAC vs MEM - Q1 09:54.00")</f>
        <v>LAC vs MEM - Q1 09:54.00</v>
      </c>
      <c r="M474">
        <v>25.73</v>
      </c>
      <c r="N474">
        <v>30.67</v>
      </c>
      <c r="O474">
        <v>70.59</v>
      </c>
      <c r="P474">
        <v>-103</v>
      </c>
      <c r="Q474">
        <v>236</v>
      </c>
      <c r="R474">
        <v>30</v>
      </c>
      <c r="S474">
        <v>70</v>
      </c>
      <c r="T474" t="s">
        <v>73</v>
      </c>
    </row>
    <row r="475" spans="1:20" x14ac:dyDescent="0.25">
      <c r="A475">
        <v>22000009</v>
      </c>
      <c r="B475" t="s">
        <v>10</v>
      </c>
      <c r="C475" t="s">
        <v>9</v>
      </c>
      <c r="D475">
        <v>24</v>
      </c>
      <c r="E475">
        <v>18</v>
      </c>
      <c r="F475">
        <v>6</v>
      </c>
      <c r="G475">
        <v>1</v>
      </c>
      <c r="H475" s="1">
        <v>2.3263888888888887E-3</v>
      </c>
      <c r="I475">
        <v>2020</v>
      </c>
      <c r="J475" t="s">
        <v>59</v>
      </c>
      <c r="K475" s="2" t="str">
        <f>HYPERLINK("https://www.nba.com/stats/events?CFID=&amp;CFPARAMS=&amp;GameEventID=119&amp;GameID=0022000009&amp;Season=2020-21&amp;flag=1&amp;title=L.%20Kennard%2025'%203PT%20%20(3%20PTS)%20(K.%20Leonard%204%20AST)", "L. Kennard 25' 3PT  (3 PTS) (K. Leonard 4 AST)")</f>
        <v>L. Kennard 25' 3PT  (3 PTS) (K. Leonard 4 AST)</v>
      </c>
      <c r="L475" s="2" t="str">
        <f>HYPERLINK("https://www.nba.com/game/...-vs-...-0022000009/play-by-play?watchFullGame=true", "LAC vs DEN - Q1 03:21.00")</f>
        <v>LAC vs DEN - Q1 03:21.00</v>
      </c>
      <c r="M475">
        <v>25.54</v>
      </c>
      <c r="N475">
        <v>30.44</v>
      </c>
      <c r="O475">
        <v>70.66</v>
      </c>
      <c r="P475">
        <v>-103</v>
      </c>
      <c r="Q475">
        <v>234</v>
      </c>
      <c r="R475">
        <v>30</v>
      </c>
      <c r="S475">
        <v>70</v>
      </c>
      <c r="T475" t="s">
        <v>73</v>
      </c>
    </row>
    <row r="476" spans="1:20" x14ac:dyDescent="0.25">
      <c r="A476">
        <v>22200525</v>
      </c>
      <c r="B476" t="s">
        <v>10</v>
      </c>
      <c r="C476" t="s">
        <v>9</v>
      </c>
      <c r="D476">
        <v>52</v>
      </c>
      <c r="E476">
        <v>60</v>
      </c>
      <c r="F476">
        <v>8</v>
      </c>
      <c r="G476">
        <v>3</v>
      </c>
      <c r="H476" s="1">
        <v>8.1134259259259267E-3</v>
      </c>
      <c r="I476">
        <v>2022</v>
      </c>
      <c r="J476" t="s">
        <v>59</v>
      </c>
      <c r="K476" s="2" t="str">
        <f>HYPERLINK("https://www.nba.com/stats/events?CFID=&amp;CFPARAMS=&amp;GameEventID=321&amp;GameID=0022200525&amp;Season=2022-23&amp;flag=1&amp;title=R.%20Jackson%2026'%203PT%20%20(5%20PTS)%20(K.%20Leonard%201%20AST)", "R. Jackson 26' 3PT  (5 PTS) (K. Leonard 1 AST)")</f>
        <v>R. Jackson 26' 3PT  (5 PTS) (K. Leonard 1 AST)</v>
      </c>
      <c r="L476" s="2" t="str">
        <f>HYPERLINK("https://www.nba.com/game/...-vs-...-0022200525/play-by-play?watchFullGame=true", "LAC vs BOS - Q3 11:41.00")</f>
        <v>LAC vs BOS - Q3 11:41.00</v>
      </c>
      <c r="M476">
        <v>26.73</v>
      </c>
      <c r="N476">
        <v>30.44</v>
      </c>
      <c r="O476">
        <v>75.98</v>
      </c>
      <c r="P476">
        <v>-130</v>
      </c>
      <c r="Q476">
        <v>234</v>
      </c>
      <c r="R476">
        <v>30</v>
      </c>
      <c r="S476">
        <v>75</v>
      </c>
      <c r="T476" t="s">
        <v>73</v>
      </c>
    </row>
    <row r="477" spans="1:20" x14ac:dyDescent="0.25">
      <c r="A477">
        <v>41900155</v>
      </c>
      <c r="B477" t="s">
        <v>10</v>
      </c>
      <c r="C477" t="s">
        <v>61</v>
      </c>
      <c r="D477">
        <v>31</v>
      </c>
      <c r="E477">
        <v>18</v>
      </c>
      <c r="F477">
        <v>13</v>
      </c>
      <c r="G477">
        <v>1</v>
      </c>
      <c r="H477" s="1">
        <v>3.1250000000000002E-3</v>
      </c>
      <c r="I477" t="s">
        <v>68</v>
      </c>
      <c r="J477" t="s">
        <v>59</v>
      </c>
      <c r="K477" s="2" t="str">
        <f>HYPERLINK("https://www.nba.com/stats/events?CFID=&amp;CFPARAMS=&amp;GameEventID=79&amp;GameID=0041900155&amp;Season=2019-20&amp;flag=1&amp;title=L.%20Shamet%2025'%203PT%20%20(5%20PTS)%20(K.%20Leonard%201%20AST)", "L. Shamet 25' 3PT  (5 PTS) (K. Leonard 1 AST)")</f>
        <v>L. Shamet 25' 3PT  (5 PTS) (K. Leonard 1 AST)</v>
      </c>
      <c r="L477" s="2" t="str">
        <f>HYPERLINK("https://www.nba.com/game/...-vs-...-0041900155/play-by-play?watchFullGame=true", "LAC vs DAL - Q1 04:30.00")</f>
        <v>LAC vs DAL - Q1 04:30.00</v>
      </c>
      <c r="M477">
        <v>25.43</v>
      </c>
      <c r="N477">
        <v>30.44</v>
      </c>
      <c r="O477">
        <v>32.67</v>
      </c>
      <c r="P477">
        <v>87</v>
      </c>
      <c r="Q477">
        <v>234</v>
      </c>
      <c r="R477">
        <v>30</v>
      </c>
      <c r="S477">
        <v>32</v>
      </c>
      <c r="T477" t="s">
        <v>73</v>
      </c>
    </row>
    <row r="478" spans="1:20" x14ac:dyDescent="0.25">
      <c r="A478">
        <v>22201129</v>
      </c>
      <c r="B478" t="s">
        <v>10</v>
      </c>
      <c r="C478" t="s">
        <v>9</v>
      </c>
      <c r="D478">
        <v>11</v>
      </c>
      <c r="E478">
        <v>8</v>
      </c>
      <c r="F478">
        <v>3</v>
      </c>
      <c r="G478">
        <v>1</v>
      </c>
      <c r="H478" s="1">
        <v>6.7939814814814816E-3</v>
      </c>
      <c r="I478">
        <v>2022</v>
      </c>
      <c r="J478" t="s">
        <v>59</v>
      </c>
      <c r="K478" s="2" t="str">
        <f>HYPERLINK("https://www.nba.com/stats/events?CFID=&amp;CFPARAMS=&amp;GameEventID=29&amp;GameID=0022201129&amp;Season=2022-23&amp;flag=1&amp;title=N.%20Batum%2026'%203PT%20running%20(3%20PTS)%20(K.%20Leonard%201%20AST)", "N. Batum 26' 3PT running (3 PTS) (K. Leonard 1 AST)")</f>
        <v>N. Batum 26' 3PT running (3 PTS) (K. Leonard 1 AST)</v>
      </c>
      <c r="L478" s="2" t="str">
        <f>HYPERLINK("https://www.nba.com/game/...-vs-...-0022201129/play-by-play?watchFullGame=true", "LAC vs CHI - Q1 09:47.00")</f>
        <v>LAC vs CHI - Q1 09:47.00</v>
      </c>
      <c r="M478">
        <v>26.2</v>
      </c>
      <c r="N478">
        <v>31.59</v>
      </c>
      <c r="O478">
        <v>31.13</v>
      </c>
      <c r="P478">
        <v>94</v>
      </c>
      <c r="Q478">
        <v>244</v>
      </c>
      <c r="R478">
        <v>31</v>
      </c>
      <c r="S478">
        <v>31</v>
      </c>
      <c r="T478" t="s">
        <v>73</v>
      </c>
    </row>
    <row r="479" spans="1:20" x14ac:dyDescent="0.25">
      <c r="A479">
        <v>22000775</v>
      </c>
      <c r="B479" t="s">
        <v>10</v>
      </c>
      <c r="C479" t="s">
        <v>9</v>
      </c>
      <c r="D479">
        <v>121</v>
      </c>
      <c r="E479">
        <v>102</v>
      </c>
      <c r="F479">
        <v>19</v>
      </c>
      <c r="G479">
        <v>4</v>
      </c>
      <c r="H479" s="1">
        <v>4.340277777777778E-3</v>
      </c>
      <c r="I479">
        <v>2020</v>
      </c>
      <c r="J479" t="s">
        <v>59</v>
      </c>
      <c r="K479" s="2" t="str">
        <f>HYPERLINK("https://www.nba.com/stats/events?CFID=&amp;CFPARAMS=&amp;GameEventID=571&amp;GameID=0022000775&amp;Season=2020-21&amp;flag=1&amp;title=P.%20Patterson%2026'%203PT%20%20(5%20PTS)%20(K.%20Leonard%207%20AST)", "P. Patterson 26' 3PT  (5 PTS) (K. Leonard 7 AST)")</f>
        <v>P. Patterson 26' 3PT  (5 PTS) (K. Leonard 7 AST)</v>
      </c>
      <c r="L479" s="2" t="str">
        <f>HYPERLINK("https://www.nba.com/game/...-vs-...-0022000775/play-by-play?watchFullGame=true", "LAC vs POR - Q4 06:15.00")</f>
        <v>LAC vs POR - Q4 06:15.00</v>
      </c>
      <c r="M479">
        <v>26.22</v>
      </c>
      <c r="N479">
        <v>31.49</v>
      </c>
      <c r="O479">
        <v>69.430000000000007</v>
      </c>
      <c r="P479">
        <v>-97</v>
      </c>
      <c r="Q479">
        <v>243</v>
      </c>
      <c r="R479">
        <v>31</v>
      </c>
      <c r="S479">
        <v>69</v>
      </c>
      <c r="T479" t="s">
        <v>73</v>
      </c>
    </row>
    <row r="480" spans="1:20" x14ac:dyDescent="0.25">
      <c r="A480">
        <v>22000061</v>
      </c>
      <c r="B480" t="s">
        <v>10</v>
      </c>
      <c r="C480" t="s">
        <v>9</v>
      </c>
      <c r="D480">
        <v>64</v>
      </c>
      <c r="E480">
        <v>46</v>
      </c>
      <c r="F480">
        <v>18</v>
      </c>
      <c r="G480">
        <v>2</v>
      </c>
      <c r="H480" s="1">
        <v>2.4537037037037036E-3</v>
      </c>
      <c r="I480">
        <v>2020</v>
      </c>
      <c r="J480" t="s">
        <v>59</v>
      </c>
      <c r="K480" s="2" t="str">
        <f>HYPERLINK("https://www.nba.com/stats/events?CFID=&amp;CFPARAMS=&amp;GameEventID=264&amp;GameID=0022000061&amp;Season=2020-21&amp;flag=1&amp;title=Ibaka%2025'%203PT%20%20(9%20PTS)%20(K.%20Leonard%205%20AST)", "S. Ibaka 25' 3PT  (9 PTS) (K. Leonard 5 AST)")</f>
        <v>S. Ibaka 25' 3PT  (9 PTS) (K. Leonard 5 AST)</v>
      </c>
      <c r="L480" s="2" t="str">
        <f>HYPERLINK("https://www.nba.com/game/...-vs-...-0022000061/play-by-play?watchFullGame=true", "LAC vs POR - Q2 03:32.00")</f>
        <v>LAC vs POR - Q2 03:32.00</v>
      </c>
      <c r="M480">
        <v>25.34</v>
      </c>
      <c r="N480">
        <v>31.75</v>
      </c>
      <c r="O480">
        <v>37.81</v>
      </c>
      <c r="P480">
        <v>61</v>
      </c>
      <c r="Q480">
        <v>246</v>
      </c>
      <c r="R480">
        <v>31</v>
      </c>
      <c r="S480">
        <v>37</v>
      </c>
      <c r="T480" t="s">
        <v>73</v>
      </c>
    </row>
    <row r="481" spans="1:20" x14ac:dyDescent="0.25">
      <c r="A481">
        <v>22000061</v>
      </c>
      <c r="B481" t="s">
        <v>10</v>
      </c>
      <c r="C481" t="s">
        <v>9</v>
      </c>
      <c r="D481">
        <v>22</v>
      </c>
      <c r="E481">
        <v>16</v>
      </c>
      <c r="F481">
        <v>6</v>
      </c>
      <c r="G481">
        <v>1</v>
      </c>
      <c r="H481" s="1">
        <v>3.460648148148148E-3</v>
      </c>
      <c r="I481">
        <v>2020</v>
      </c>
      <c r="J481" t="s">
        <v>59</v>
      </c>
      <c r="K481" s="2" t="str">
        <f>HYPERLINK("https://www.nba.com/stats/events?CFID=&amp;CFPARAMS=&amp;GameEventID=76&amp;GameID=0022000061&amp;Season=2020-21&amp;flag=1&amp;title=P.%20George%2027'%203PT%20%20(5%20PTS)%20(K.%20Leonard%202%20AST)", "P. George 27' 3PT  (5 PTS) (K. Leonard 2 AST)")</f>
        <v>P. George 27' 3PT  (5 PTS) (K. Leonard 2 AST)</v>
      </c>
      <c r="L481" s="2" t="str">
        <f>HYPERLINK("https://www.nba.com/game/...-vs-...-0022000061/play-by-play?watchFullGame=true", "LAC vs POR - Q1 04:59.00")</f>
        <v>LAC vs POR - Q1 04:59.00</v>
      </c>
      <c r="M481">
        <v>27.03</v>
      </c>
      <c r="N481">
        <v>31.36</v>
      </c>
      <c r="O481">
        <v>26.05</v>
      </c>
      <c r="P481">
        <v>120</v>
      </c>
      <c r="Q481">
        <v>242</v>
      </c>
      <c r="R481">
        <v>31</v>
      </c>
      <c r="S481">
        <v>26</v>
      </c>
      <c r="T481" t="s">
        <v>73</v>
      </c>
    </row>
    <row r="482" spans="1:20" x14ac:dyDescent="0.25">
      <c r="A482">
        <v>22301052</v>
      </c>
      <c r="B482" t="s">
        <v>10</v>
      </c>
      <c r="C482" t="s">
        <v>9</v>
      </c>
      <c r="D482">
        <v>65</v>
      </c>
      <c r="E482">
        <v>66</v>
      </c>
      <c r="F482">
        <v>1</v>
      </c>
      <c r="G482">
        <v>3</v>
      </c>
      <c r="H482" s="1">
        <v>3.0671296296296297E-3</v>
      </c>
      <c r="I482">
        <v>2023</v>
      </c>
      <c r="J482" t="s">
        <v>59</v>
      </c>
      <c r="K482" s="2" t="str">
        <f>HYPERLINK("https://www.nba.com/stats/events?CFID=&amp;CFPARAMS=&amp;GameEventID=415&amp;GameID=0022301052&amp;Season=2023-24&amp;flag=1&amp;title=J.%20Harden%2026'%203PT%20%20(14%20PTS)%20(K.%20Leonard%203%20AST)", "J. Harden 26' 3PT  (14 PTS) (K. Leonard 3 AST)")</f>
        <v>J. Harden 26' 3PT  (14 PTS) (K. Leonard 3 AST)</v>
      </c>
      <c r="L482" s="2" t="str">
        <f>HYPERLINK("https://www.nba.com/game/...-vs-...-0022301052/play-by-play?watchFullGame=true", "LAC vs PHI - Q3 04:25.00")</f>
        <v>LAC vs PHI - Q3 04:25.00</v>
      </c>
      <c r="M482">
        <v>26.08</v>
      </c>
      <c r="N482">
        <v>31.19</v>
      </c>
      <c r="O482">
        <v>29.9</v>
      </c>
      <c r="P482">
        <v>100</v>
      </c>
      <c r="Q482">
        <v>241</v>
      </c>
      <c r="R482">
        <v>31</v>
      </c>
      <c r="S482">
        <v>29</v>
      </c>
      <c r="T482" t="s">
        <v>73</v>
      </c>
    </row>
    <row r="483" spans="1:20" x14ac:dyDescent="0.25">
      <c r="A483">
        <v>21900499</v>
      </c>
      <c r="B483" t="s">
        <v>10</v>
      </c>
      <c r="C483" t="s">
        <v>61</v>
      </c>
      <c r="D483">
        <v>100</v>
      </c>
      <c r="E483">
        <v>82</v>
      </c>
      <c r="F483">
        <v>18</v>
      </c>
      <c r="G483">
        <v>4</v>
      </c>
      <c r="H483" s="1">
        <v>3.8657407407407408E-3</v>
      </c>
      <c r="I483">
        <v>2019</v>
      </c>
      <c r="J483" t="s">
        <v>59</v>
      </c>
      <c r="K483" s="2" t="str">
        <f>HYPERLINK("https://www.nba.com/stats/events?CFID=&amp;CFPARAMS=&amp;GameEventID=571&amp;GameID=0021900499&amp;Season=2019-20&amp;flag=1&amp;title=J.%20Green%2026'%203PT%20%20(6%20PTS)%20(K.%20Leonard%206%20AST)", "J. Green 26' 3PT  (6 PTS) (K. Leonard 6 AST)")</f>
        <v>J. Green 26' 3PT  (6 PTS) (K. Leonard 6 AST)</v>
      </c>
      <c r="L483" s="2" t="str">
        <f>HYPERLINK("https://www.nba.com/game/...-vs-...-0021900499/play-by-play?watchFullGame=true", "LAC vs SAC - Q4 05:34.00")</f>
        <v>LAC vs SAC - Q4 05:34.00</v>
      </c>
      <c r="M483">
        <v>25.76</v>
      </c>
      <c r="N483">
        <v>31.75</v>
      </c>
      <c r="O483">
        <v>61.1</v>
      </c>
      <c r="P483">
        <v>-55</v>
      </c>
      <c r="Q483">
        <v>246</v>
      </c>
      <c r="R483">
        <v>31</v>
      </c>
      <c r="S483">
        <v>61</v>
      </c>
      <c r="T483" t="s">
        <v>73</v>
      </c>
    </row>
    <row r="484" spans="1:20" x14ac:dyDescent="0.25">
      <c r="A484">
        <v>41900151</v>
      </c>
      <c r="B484" t="s">
        <v>10</v>
      </c>
      <c r="C484" t="s">
        <v>61</v>
      </c>
      <c r="D484">
        <v>69</v>
      </c>
      <c r="E484">
        <v>71</v>
      </c>
      <c r="F484">
        <v>2</v>
      </c>
      <c r="G484">
        <v>3</v>
      </c>
      <c r="H484" s="1">
        <v>6.2037037037037035E-3</v>
      </c>
      <c r="I484" t="s">
        <v>68</v>
      </c>
      <c r="J484" t="s">
        <v>59</v>
      </c>
      <c r="K484" s="2" t="str">
        <f>HYPERLINK("https://www.nba.com/stats/events?CFID=&amp;CFPARAMS=&amp;GameEventID=407&amp;GameID=0041900151&amp;Season=2019-20&amp;flag=1&amp;title=P.%20Beverley%2026'%203PT%20%20(3%20PTS)%20(K.%20Leonard%203%20AST)", "P. Beverley 26' 3PT  (3 PTS) (K. Leonard 3 AST)")</f>
        <v>P. Beverley 26' 3PT  (3 PTS) (K. Leonard 3 AST)</v>
      </c>
      <c r="L484" s="2" t="str">
        <f>HYPERLINK("https://www.nba.com/game/...-vs-...-0041900151/play-by-play?watchFullGame=true", "LAC vs DAL - Q3 08:56.00")</f>
        <v>LAC vs DAL - Q3 08:56.00</v>
      </c>
      <c r="M484">
        <v>25.76</v>
      </c>
      <c r="N484">
        <v>31.88</v>
      </c>
      <c r="O484">
        <v>40.020000000000003</v>
      </c>
      <c r="P484">
        <v>50</v>
      </c>
      <c r="Q484">
        <v>247</v>
      </c>
      <c r="R484">
        <v>31</v>
      </c>
      <c r="S484">
        <v>40</v>
      </c>
      <c r="T484" t="s">
        <v>73</v>
      </c>
    </row>
    <row r="485" spans="1:20" x14ac:dyDescent="0.25">
      <c r="A485">
        <v>22201229</v>
      </c>
      <c r="B485" t="s">
        <v>10</v>
      </c>
      <c r="C485" t="s">
        <v>9</v>
      </c>
      <c r="D485">
        <v>53</v>
      </c>
      <c r="E485">
        <v>53</v>
      </c>
      <c r="F485">
        <v>0</v>
      </c>
      <c r="G485">
        <v>3</v>
      </c>
      <c r="H485" s="1">
        <v>7.789351851851852E-3</v>
      </c>
      <c r="I485">
        <v>2022</v>
      </c>
      <c r="J485" t="s">
        <v>59</v>
      </c>
      <c r="K485" s="2" t="str">
        <f>HYPERLINK("https://www.nba.com/stats/events?CFID=&amp;CFPARAMS=&amp;GameEventID=351&amp;GameID=0022201229&amp;Season=2022-23&amp;flag=1&amp;title=R.%20Westbrook%2024'%203PT%20%20(16%20PTS)%20(K.%20Leonard%204%20AST)", "R. Westbrook 24' 3PT  (16 PTS) (K. Leonard 4 AST)")</f>
        <v>R. Westbrook 24' 3PT  (16 PTS) (K. Leonard 4 AST)</v>
      </c>
      <c r="L485" s="2" t="str">
        <f>HYPERLINK("https://www.nba.com/game/...-vs-...-0022201229/play-by-play?watchFullGame=true", "LAC vs PHX - Q3 11:13.00")</f>
        <v>LAC vs PHX - Q3 11:13.00</v>
      </c>
      <c r="M485">
        <v>24.37</v>
      </c>
      <c r="N485">
        <v>31.36</v>
      </c>
      <c r="O485">
        <v>55.15</v>
      </c>
      <c r="P485">
        <v>-26</v>
      </c>
      <c r="Q485">
        <v>242</v>
      </c>
      <c r="R485">
        <v>31</v>
      </c>
      <c r="S485">
        <v>55</v>
      </c>
      <c r="T485" t="s">
        <v>73</v>
      </c>
    </row>
    <row r="486" spans="1:20" x14ac:dyDescent="0.25">
      <c r="A486">
        <v>22200918</v>
      </c>
      <c r="B486" t="s">
        <v>10</v>
      </c>
      <c r="C486" t="s">
        <v>9</v>
      </c>
      <c r="D486">
        <v>83</v>
      </c>
      <c r="E486">
        <v>89</v>
      </c>
      <c r="F486">
        <v>6</v>
      </c>
      <c r="G486">
        <v>3</v>
      </c>
      <c r="H486" s="1">
        <v>1.9675925925925924E-3</v>
      </c>
      <c r="I486">
        <v>2022</v>
      </c>
      <c r="J486" t="s">
        <v>59</v>
      </c>
      <c r="K486" s="2" t="str">
        <f>HYPERLINK("https://www.nba.com/stats/events?CFID=&amp;CFPARAMS=&amp;GameEventID=438&amp;GameID=0022200918&amp;Season=2022-23&amp;flag=1&amp;title=N.%20Batum%2025'%203PT%20%20(12%20PTS)%20(K.%20Leonard%202%20AST)", "N. Batum 25' 3PT  (12 PTS) (K. Leonard 2 AST)")</f>
        <v>N. Batum 25' 3PT  (12 PTS) (K. Leonard 2 AST)</v>
      </c>
      <c r="L486" s="2" t="str">
        <f>HYPERLINK("https://www.nba.com/game/...-vs-...-0022200918/play-by-play?watchFullGame=true", "LAC vs DEN - Q3 02:50.00")</f>
        <v>LAC vs DEN - Q3 02:50.00</v>
      </c>
      <c r="M486">
        <v>25.38</v>
      </c>
      <c r="N486">
        <v>31.23</v>
      </c>
      <c r="O486">
        <v>34.07</v>
      </c>
      <c r="P486">
        <v>80</v>
      </c>
      <c r="Q486">
        <v>241</v>
      </c>
      <c r="R486">
        <v>31</v>
      </c>
      <c r="S486">
        <v>34</v>
      </c>
      <c r="T486" t="s">
        <v>73</v>
      </c>
    </row>
    <row r="487" spans="1:20" x14ac:dyDescent="0.25">
      <c r="A487">
        <v>22000324</v>
      </c>
      <c r="B487" t="s">
        <v>10</v>
      </c>
      <c r="C487" t="s">
        <v>9</v>
      </c>
      <c r="D487">
        <v>29</v>
      </c>
      <c r="E487">
        <v>18</v>
      </c>
      <c r="F487">
        <v>11</v>
      </c>
      <c r="G487">
        <v>1</v>
      </c>
      <c r="H487" s="1">
        <v>1.25E-3</v>
      </c>
      <c r="I487">
        <v>2020</v>
      </c>
      <c r="J487" t="s">
        <v>59</v>
      </c>
      <c r="K487" s="2" t="str">
        <f>HYPERLINK("https://www.nba.com/stats/events?CFID=&amp;CFPARAMS=&amp;GameEventID=126&amp;GameID=0022000324&amp;Season=2020-21&amp;flag=1&amp;title=R.%20Jackson%2025'%203PT%20%20(3%20PTS)%20(K.%20Leonard%204%20AST)", "R. Jackson 25' 3PT  (3 PTS) (K. Leonard 4 AST)")</f>
        <v>R. Jackson 25' 3PT  (3 PTS) (K. Leonard 4 AST)</v>
      </c>
      <c r="L487" s="2" t="str">
        <f>HYPERLINK("https://www.nba.com/game/...-vs-...-0022000324/play-by-play?watchFullGame=true", "LAC vs BKN - Q1 01:48.00")</f>
        <v>LAC vs BKN - Q1 01:48.00</v>
      </c>
      <c r="M487">
        <v>25.26</v>
      </c>
      <c r="N487">
        <v>31.36</v>
      </c>
      <c r="O487">
        <v>64.28</v>
      </c>
      <c r="P487">
        <v>-71</v>
      </c>
      <c r="Q487">
        <v>242</v>
      </c>
      <c r="R487">
        <v>31</v>
      </c>
      <c r="S487">
        <v>64</v>
      </c>
      <c r="T487" t="s">
        <v>73</v>
      </c>
    </row>
    <row r="488" spans="1:20" x14ac:dyDescent="0.25">
      <c r="A488">
        <v>22200604</v>
      </c>
      <c r="B488" t="s">
        <v>10</v>
      </c>
      <c r="C488" t="s">
        <v>9</v>
      </c>
      <c r="D488">
        <v>65</v>
      </c>
      <c r="E488">
        <v>75</v>
      </c>
      <c r="F488">
        <v>10</v>
      </c>
      <c r="G488">
        <v>3</v>
      </c>
      <c r="H488" s="1">
        <v>5.7754629629629631E-3</v>
      </c>
      <c r="I488">
        <v>2022</v>
      </c>
      <c r="J488" t="s">
        <v>59</v>
      </c>
      <c r="K488" s="2" t="str">
        <f>HYPERLINK("https://www.nba.com/stats/events?CFID=&amp;CFPARAMS=&amp;GameEventID=383&amp;GameID=0022200604&amp;Season=2022-23&amp;flag=1&amp;title=M.%20Morris%20Sr.%2026'%203PT%20%20(7%20PTS)%20(K.%20Leonard%204%20AST)", "M. Morris Sr. 26' 3PT  (7 PTS) (K. Leonard 4 AST)")</f>
        <v>M. Morris Sr. 26' 3PT  (7 PTS) (K. Leonard 4 AST)</v>
      </c>
      <c r="L488" s="2" t="str">
        <f>HYPERLINK("https://www.nba.com/game/...-vs-...-0022200604/play-by-play?watchFullGame=true", "LAC vs ATL - Q3 08:19.00")</f>
        <v>LAC vs ATL - Q3 08:19.00</v>
      </c>
      <c r="M488">
        <v>26.25</v>
      </c>
      <c r="N488">
        <v>31.98</v>
      </c>
      <c r="O488">
        <v>32.840000000000003</v>
      </c>
      <c r="P488">
        <v>86</v>
      </c>
      <c r="Q488">
        <v>248</v>
      </c>
      <c r="R488">
        <v>31</v>
      </c>
      <c r="S488">
        <v>32</v>
      </c>
      <c r="T488" t="s">
        <v>73</v>
      </c>
    </row>
    <row r="489" spans="1:20" x14ac:dyDescent="0.25">
      <c r="A489">
        <v>22300848</v>
      </c>
      <c r="B489" t="s">
        <v>10</v>
      </c>
      <c r="C489" t="s">
        <v>9</v>
      </c>
      <c r="D489">
        <v>87</v>
      </c>
      <c r="E489">
        <v>73</v>
      </c>
      <c r="F489">
        <v>14</v>
      </c>
      <c r="G489">
        <v>3</v>
      </c>
      <c r="H489" s="1">
        <v>2.2685185185185187E-3</v>
      </c>
      <c r="I489">
        <v>2023</v>
      </c>
      <c r="J489" t="s">
        <v>59</v>
      </c>
      <c r="K489" s="2" t="str">
        <f>HYPERLINK("https://www.nba.com/stats/events?CFID=&amp;CFPARAMS=&amp;GameEventID=433&amp;GameID=0022300848&amp;Season=2023-24&amp;flag=1&amp;title=A.%20Coffey%2027'%203PT%20%20(6%20PTS)%20(K.%20Leonard%205%20AST)", "A. Coffey 27' 3PT  (6 PTS) (K. Leonard 5 AST)")</f>
        <v>A. Coffey 27' 3PT  (6 PTS) (K. Leonard 5 AST)</v>
      </c>
      <c r="L489" s="2" t="str">
        <f>HYPERLINK("https://www.nba.com/game/...-vs-...-0022300848/play-by-play?watchFullGame=true", "LAC vs LAL - Q3 03:16.00")</f>
        <v>LAC vs LAL - Q3 03:16.00</v>
      </c>
      <c r="M489">
        <v>27.09</v>
      </c>
      <c r="N489">
        <v>31.85</v>
      </c>
      <c r="O489">
        <v>72.3</v>
      </c>
      <c r="P489">
        <v>-112</v>
      </c>
      <c r="Q489">
        <v>247</v>
      </c>
      <c r="R489">
        <v>31</v>
      </c>
      <c r="S489">
        <v>72</v>
      </c>
      <c r="T489" t="s">
        <v>73</v>
      </c>
    </row>
    <row r="490" spans="1:20" x14ac:dyDescent="0.25">
      <c r="A490">
        <v>41900153</v>
      </c>
      <c r="B490" t="s">
        <v>10</v>
      </c>
      <c r="C490" t="s">
        <v>61</v>
      </c>
      <c r="D490">
        <v>55</v>
      </c>
      <c r="E490">
        <v>44</v>
      </c>
      <c r="F490">
        <v>11</v>
      </c>
      <c r="G490">
        <v>2</v>
      </c>
      <c r="H490" s="1">
        <v>1.8981481481481482E-3</v>
      </c>
      <c r="I490" t="s">
        <v>68</v>
      </c>
      <c r="J490" t="s">
        <v>59</v>
      </c>
      <c r="K490" s="2" t="str">
        <f>HYPERLINK("https://www.nba.com/stats/events?CFID=&amp;CFPARAMS=&amp;GameEventID=288&amp;GameID=0041900153&amp;Season=2019-20&amp;flag=1&amp;title=L.%20Shamet%2025'%203PT%20%20(6%20PTS)%20(K.%20Leonard%203%20AST)", "L. Shamet 25' 3PT  (6 PTS) (K. Leonard 3 AST)")</f>
        <v>L. Shamet 25' 3PT  (6 PTS) (K. Leonard 3 AST)</v>
      </c>
      <c r="L490" s="2" t="str">
        <f>HYPERLINK("https://www.nba.com/game/...-vs-...-0041900153/play-by-play?watchFullGame=true", "LAC vs DAL - Q2 02:44.00")</f>
        <v>LAC vs DAL - Q2 02:44.00</v>
      </c>
      <c r="M490">
        <v>24.83</v>
      </c>
      <c r="N490">
        <v>31.36</v>
      </c>
      <c r="O490">
        <v>53.26</v>
      </c>
      <c r="P490">
        <v>-16</v>
      </c>
      <c r="Q490">
        <v>242</v>
      </c>
      <c r="R490">
        <v>31</v>
      </c>
      <c r="S490">
        <v>53</v>
      </c>
      <c r="T490" t="s">
        <v>73</v>
      </c>
    </row>
    <row r="491" spans="1:20" x14ac:dyDescent="0.25">
      <c r="A491">
        <v>22300264</v>
      </c>
      <c r="B491" t="s">
        <v>10</v>
      </c>
      <c r="C491" t="s">
        <v>9</v>
      </c>
      <c r="D491">
        <v>3</v>
      </c>
      <c r="E491">
        <v>2</v>
      </c>
      <c r="F491">
        <v>1</v>
      </c>
      <c r="G491">
        <v>1</v>
      </c>
      <c r="H491" s="1">
        <v>7.4884259259259262E-3</v>
      </c>
      <c r="I491">
        <v>2023</v>
      </c>
      <c r="J491" t="s">
        <v>59</v>
      </c>
      <c r="K491" s="2" t="str">
        <f>HYPERLINK("https://www.nba.com/stats/events?CFID=&amp;CFPARAMS=&amp;GameEventID=13&amp;GameID=0022300264&amp;Season=2023-24&amp;flag=1&amp;title=J.%20Harden%2024'%203PT%20%20(3%20PTS)%20(K.%20Leonard%201%20AST)", "J. Harden 24' 3PT  (3 PTS) (K. Leonard 1 AST)")</f>
        <v>J. Harden 24' 3PT  (3 PTS) (K. Leonard 1 AST)</v>
      </c>
      <c r="L491" s="2" t="str">
        <f>HYPERLINK("https://www.nba.com/game/...-vs-...-0022300264/play-by-play?watchFullGame=true", "LAC vs SAC - Q1 10:47.00")</f>
        <v>LAC vs SAC - Q1 10:47.00</v>
      </c>
      <c r="M491">
        <v>24.55</v>
      </c>
      <c r="N491">
        <v>31.09</v>
      </c>
      <c r="O491">
        <v>39.46</v>
      </c>
      <c r="P491">
        <v>53</v>
      </c>
      <c r="Q491">
        <v>240</v>
      </c>
      <c r="R491">
        <v>31</v>
      </c>
      <c r="S491">
        <v>39</v>
      </c>
      <c r="T491" t="s">
        <v>73</v>
      </c>
    </row>
    <row r="492" spans="1:20" x14ac:dyDescent="0.25">
      <c r="A492">
        <v>42000177</v>
      </c>
      <c r="B492" t="s">
        <v>10</v>
      </c>
      <c r="C492" t="s">
        <v>9</v>
      </c>
      <c r="D492">
        <v>91</v>
      </c>
      <c r="E492">
        <v>83</v>
      </c>
      <c r="F492">
        <v>8</v>
      </c>
      <c r="G492">
        <v>3</v>
      </c>
      <c r="H492" s="1">
        <v>1.8749999999999999E-3</v>
      </c>
      <c r="I492" t="s">
        <v>66</v>
      </c>
      <c r="J492" t="s">
        <v>59</v>
      </c>
      <c r="K492" s="2" t="str">
        <f>HYPERLINK("https://www.nba.com/stats/events?CFID=&amp;CFPARAMS=&amp;GameEventID=439&amp;GameID=0042000177&amp;Season=2020-21&amp;flag=1&amp;title=M.%20Morris%20Sr.%2025'%203PT%20%20(20%20PTS)%20(K.%20Leonard%205%20AST)", "M. Morris Sr. 25' 3PT  (20 PTS) (K. Leonard 5 AST)")</f>
        <v>M. Morris Sr. 25' 3PT  (20 PTS) (K. Leonard 5 AST)</v>
      </c>
      <c r="L492" s="2" t="str">
        <f>HYPERLINK("https://www.nba.com/game/...-vs-...-0042000177/play-by-play?watchFullGame=true", "LAC vs DAL - Q3 02:42.00")</f>
        <v>LAC vs DAL - Q3 02:42.00</v>
      </c>
      <c r="M492">
        <v>25.09</v>
      </c>
      <c r="N492">
        <v>31.09</v>
      </c>
      <c r="O492">
        <v>64.77</v>
      </c>
      <c r="P492">
        <v>31</v>
      </c>
      <c r="Q492">
        <v>64</v>
      </c>
      <c r="R492">
        <v>31</v>
      </c>
      <c r="S492">
        <v>64</v>
      </c>
      <c r="T492" t="s">
        <v>73</v>
      </c>
    </row>
    <row r="493" spans="1:20" x14ac:dyDescent="0.25">
      <c r="A493">
        <v>22300372</v>
      </c>
      <c r="B493" t="s">
        <v>10</v>
      </c>
      <c r="C493" t="s">
        <v>9</v>
      </c>
      <c r="D493">
        <v>72</v>
      </c>
      <c r="E493">
        <v>68</v>
      </c>
      <c r="F493">
        <v>4</v>
      </c>
      <c r="G493">
        <v>3</v>
      </c>
      <c r="H493" s="1">
        <v>4.8379629629629632E-3</v>
      </c>
      <c r="I493">
        <v>2023</v>
      </c>
      <c r="J493" t="s">
        <v>59</v>
      </c>
      <c r="K493" s="2" t="str">
        <f>HYPERLINK("https://www.nba.com/stats/events?CFID=&amp;CFPARAMS=&amp;GameEventID=377&amp;GameID=0022300372&amp;Season=2023-24&amp;flag=1&amp;title=N.%20Powell%2026'%203PT%20%20(13%20PTS)%20(K.%20Leonard%202%20AST)", "N. Powell 26' 3PT  (13 PTS) (K. Leonard 2 AST)")</f>
        <v>N. Powell 26' 3PT  (13 PTS) (K. Leonard 2 AST)</v>
      </c>
      <c r="L493" s="2" t="str">
        <f>HYPERLINK("https://www.nba.com/game/...-vs-...-0022300372/play-by-play?watchFullGame=true", "LAC vs DAL - Q3 06:58.00")</f>
        <v>LAC vs DAL - Q3 06:58.00</v>
      </c>
      <c r="M493">
        <v>26.64</v>
      </c>
      <c r="N493">
        <v>31.88</v>
      </c>
      <c r="O493">
        <v>30.15</v>
      </c>
      <c r="P493">
        <v>99</v>
      </c>
      <c r="Q493">
        <v>247</v>
      </c>
      <c r="R493">
        <v>31</v>
      </c>
      <c r="S493">
        <v>30</v>
      </c>
      <c r="T493" t="s">
        <v>73</v>
      </c>
    </row>
    <row r="494" spans="1:20" x14ac:dyDescent="0.25">
      <c r="A494">
        <v>22300827</v>
      </c>
      <c r="B494" t="s">
        <v>10</v>
      </c>
      <c r="C494" t="s">
        <v>9</v>
      </c>
      <c r="D494">
        <v>103</v>
      </c>
      <c r="E494">
        <v>116</v>
      </c>
      <c r="F494">
        <v>13</v>
      </c>
      <c r="G494">
        <v>4</v>
      </c>
      <c r="H494" s="1">
        <v>2.4189814814814816E-3</v>
      </c>
      <c r="I494">
        <v>2023</v>
      </c>
      <c r="J494" t="s">
        <v>59</v>
      </c>
      <c r="K494" s="2" t="str">
        <f>HYPERLINK("https://www.nba.com/stats/events?CFID=&amp;CFPARAMS=&amp;GameEventID=574&amp;GameID=0022300827&amp;Season=2023-24&amp;flag=1&amp;title=N.%20Powell%2026'%203PT%20%20(21%20PTS)%20(K.%20Leonard%203%20AST)", "N. Powell 26' 3PT  (21 PTS) (K. Leonard 3 AST)")</f>
        <v>N. Powell 26' 3PT  (21 PTS) (K. Leonard 3 AST)</v>
      </c>
      <c r="L494" s="2" t="str">
        <f>HYPERLINK("https://www.nba.com/game/...-vs-...-0022300827/play-by-play?watchFullGame=true", "LAC vs SAC - Q4 03:29.00")</f>
        <v>LAC vs SAC - Q4 03:29.00</v>
      </c>
      <c r="M494">
        <v>26.97</v>
      </c>
      <c r="N494">
        <v>31.59</v>
      </c>
      <c r="O494">
        <v>72.790000000000006</v>
      </c>
      <c r="P494">
        <v>-114</v>
      </c>
      <c r="Q494">
        <v>244</v>
      </c>
      <c r="R494">
        <v>31</v>
      </c>
      <c r="S494">
        <v>72</v>
      </c>
      <c r="T494" t="s">
        <v>73</v>
      </c>
    </row>
    <row r="495" spans="1:20" x14ac:dyDescent="0.25">
      <c r="A495">
        <v>41900232</v>
      </c>
      <c r="B495" t="s">
        <v>10</v>
      </c>
      <c r="C495" t="s">
        <v>61</v>
      </c>
      <c r="D495">
        <v>89</v>
      </c>
      <c r="E495">
        <v>101</v>
      </c>
      <c r="F495">
        <v>12</v>
      </c>
      <c r="G495">
        <v>4</v>
      </c>
      <c r="H495" s="1">
        <v>3.5879629629629629E-3</v>
      </c>
      <c r="I495" t="s">
        <v>62</v>
      </c>
      <c r="J495" t="s">
        <v>59</v>
      </c>
      <c r="K495" s="2" t="str">
        <f>HYPERLINK("https://www.nba.com/stats/events?CFID=&amp;CFPARAMS=&amp;GameEventID=601&amp;GameID=0041900232&amp;Season=2019-20&amp;flag=1&amp;title=J.%20Green%2027'%203PT%20%20(8%20PTS)%20(K.%20Leonard%207%20AST)", "J. Green 27' 3PT  (8 PTS) (K. Leonard 7 AST)")</f>
        <v>J. Green 27' 3PT  (8 PTS) (K. Leonard 7 AST)</v>
      </c>
      <c r="L495" s="2" t="str">
        <f>HYPERLINK("https://www.nba.com/game/...-vs-...-0041900232/play-by-play?watchFullGame=true", "LAC vs DEN - Q4 05:10.00")</f>
        <v>LAC vs DEN - Q4 05:10.00</v>
      </c>
      <c r="M495">
        <v>27.19</v>
      </c>
      <c r="N495">
        <v>31.09</v>
      </c>
      <c r="O495">
        <v>26.54</v>
      </c>
      <c r="P495">
        <v>117</v>
      </c>
      <c r="Q495">
        <v>240</v>
      </c>
      <c r="R495">
        <v>31</v>
      </c>
      <c r="S495">
        <v>26</v>
      </c>
      <c r="T495" t="s">
        <v>73</v>
      </c>
    </row>
    <row r="496" spans="1:20" x14ac:dyDescent="0.25">
      <c r="A496">
        <v>21900016</v>
      </c>
      <c r="B496" t="s">
        <v>10</v>
      </c>
      <c r="C496" t="s">
        <v>61</v>
      </c>
      <c r="D496">
        <v>11</v>
      </c>
      <c r="E496">
        <v>0</v>
      </c>
      <c r="F496">
        <v>11</v>
      </c>
      <c r="G496">
        <v>1</v>
      </c>
      <c r="H496" s="1">
        <v>6.2847222222222219E-3</v>
      </c>
      <c r="I496">
        <v>2019</v>
      </c>
      <c r="J496" t="s">
        <v>59</v>
      </c>
      <c r="K496" s="2" t="str">
        <f>HYPERLINK("https://www.nba.com/stats/events?CFID=&amp;CFPARAMS=&amp;GameEventID=39&amp;GameID=0021900016&amp;Season=2019-20&amp;flag=1&amp;title=[LAC]%20Patterson%203pt%20shot:%20Made%20(3%20PTS)%20assist:%20Leonard%20(2%20AST)", "[LAC] Patterson 3pt shot: Made (3 PTS) assist: Leonard (2 AST)")</f>
        <v>[LAC] Patterson 3pt shot: Made (3 PTS) assist: Leonard (2 AST)</v>
      </c>
      <c r="L496" s="2" t="str">
        <f>HYPERLINK("https://www.nba.com/game/...-vs-...-0021900016/play-by-play?watchFullGame=true", "LAC vs GSW - Q1 09:03.00")</f>
        <v>LAC vs GSW - Q1 09:03.00</v>
      </c>
      <c r="M496">
        <v>27.81</v>
      </c>
      <c r="N496">
        <v>32.799999999999997</v>
      </c>
      <c r="O496">
        <v>30.95</v>
      </c>
      <c r="P496">
        <v>95</v>
      </c>
      <c r="Q496">
        <v>256</v>
      </c>
      <c r="R496">
        <v>32</v>
      </c>
      <c r="S496">
        <v>30</v>
      </c>
      <c r="T496" t="s">
        <v>73</v>
      </c>
    </row>
    <row r="497" spans="1:20" x14ac:dyDescent="0.25">
      <c r="A497">
        <v>22000061</v>
      </c>
      <c r="B497" t="s">
        <v>10</v>
      </c>
      <c r="C497" t="s">
        <v>9</v>
      </c>
      <c r="D497">
        <v>54</v>
      </c>
      <c r="E497">
        <v>44</v>
      </c>
      <c r="F497">
        <v>10</v>
      </c>
      <c r="G497">
        <v>2</v>
      </c>
      <c r="H497" s="1">
        <v>3.9814814814814817E-3</v>
      </c>
      <c r="I497">
        <v>2020</v>
      </c>
      <c r="J497" t="s">
        <v>59</v>
      </c>
      <c r="K497" s="2" t="str">
        <f>HYPERLINK("https://www.nba.com/stats/events?CFID=&amp;CFPARAMS=&amp;GameEventID=221&amp;GameID=0022000061&amp;Season=2020-21&amp;flag=1&amp;title=R.%20Jackson%2025'%203PT%20%20(8%20PTS)%20(K.%20Leonard%204%20AST)", "R. Jackson 25' 3PT  (8 PTS) (K. Leonard 4 AST)")</f>
        <v>R. Jackson 25' 3PT  (8 PTS) (K. Leonard 4 AST)</v>
      </c>
      <c r="L497" s="2" t="str">
        <f>HYPERLINK("https://www.nba.com/game/...-vs-...-0022000061/play-by-play?watchFullGame=true", "LAC vs POR - Q2 05:44.00")</f>
        <v>LAC vs POR - Q2 05:44.00</v>
      </c>
      <c r="M497">
        <v>25.87</v>
      </c>
      <c r="N497">
        <v>32.67</v>
      </c>
      <c r="O497">
        <v>59.14</v>
      </c>
      <c r="P497">
        <v>-46</v>
      </c>
      <c r="Q497">
        <v>255</v>
      </c>
      <c r="R497">
        <v>32</v>
      </c>
      <c r="S497">
        <v>59</v>
      </c>
      <c r="T497" t="s">
        <v>73</v>
      </c>
    </row>
    <row r="498" spans="1:20" x14ac:dyDescent="0.25">
      <c r="A498">
        <v>22200525</v>
      </c>
      <c r="B498" t="s">
        <v>10</v>
      </c>
      <c r="C498" t="s">
        <v>9</v>
      </c>
      <c r="D498">
        <v>58</v>
      </c>
      <c r="E498">
        <v>63</v>
      </c>
      <c r="F498">
        <v>5</v>
      </c>
      <c r="G498">
        <v>3</v>
      </c>
      <c r="H498" s="1">
        <v>7.4537037037037037E-3</v>
      </c>
      <c r="I498">
        <v>2022</v>
      </c>
      <c r="J498" t="s">
        <v>59</v>
      </c>
      <c r="K498" s="2" t="str">
        <f>HYPERLINK("https://www.nba.com/stats/events?CFID=&amp;CFPARAMS=&amp;GameEventID=332&amp;GameID=0022200525&amp;Season=2022-23&amp;flag=1&amp;title=M.%20Morris%20Sr.%2026'%203PT%20pullup%20(5%20PTS)%20(K.%20Leonard%203%20AST)", "M. Morris Sr. 26' 3PT pullup (5 PTS) (K. Leonard 3 AST)")</f>
        <v>M. Morris Sr. 26' 3PT pullup (5 PTS) (K. Leonard 3 AST)</v>
      </c>
      <c r="L498" s="2" t="str">
        <f>HYPERLINK("https://www.nba.com/game/...-vs-...-0022200525/play-by-play?watchFullGame=true", "LAC vs BOS - Q3 10:44.00")</f>
        <v>LAC vs BOS - Q3 10:44.00</v>
      </c>
      <c r="M498">
        <v>26.57</v>
      </c>
      <c r="N498">
        <v>32.01</v>
      </c>
      <c r="O498">
        <v>68.87</v>
      </c>
      <c r="P498">
        <v>-94</v>
      </c>
      <c r="Q498">
        <v>248</v>
      </c>
      <c r="R498">
        <v>32</v>
      </c>
      <c r="S498">
        <v>68</v>
      </c>
      <c r="T498" t="s">
        <v>73</v>
      </c>
    </row>
    <row r="499" spans="1:20" x14ac:dyDescent="0.25">
      <c r="A499">
        <v>21900212</v>
      </c>
      <c r="B499" t="s">
        <v>10</v>
      </c>
      <c r="C499" t="s">
        <v>61</v>
      </c>
      <c r="D499">
        <v>6</v>
      </c>
      <c r="E499">
        <v>0</v>
      </c>
      <c r="F499">
        <v>6</v>
      </c>
      <c r="G499">
        <v>1</v>
      </c>
      <c r="H499" s="1">
        <v>6.9907407407407409E-3</v>
      </c>
      <c r="I499">
        <v>2019</v>
      </c>
      <c r="J499" t="s">
        <v>59</v>
      </c>
      <c r="K499" s="2" t="str">
        <f>HYPERLINK("https://www.nba.com/stats/events?CFID=&amp;CFPARAMS=&amp;GameEventID=22&amp;GameID=0021900212&amp;Season=2019-20&amp;flag=1&amp;title=P.%20George%2028'%203PT%20%20(3%20PTS)%20(K.%20Leonard%201%20AST)", "P. George 28' 3PT  (3 PTS) (K. Leonard 1 AST)")</f>
        <v>P. George 28' 3PT  (3 PTS) (K. Leonard 1 AST)</v>
      </c>
      <c r="L499" s="2" t="str">
        <f>HYPERLINK("https://www.nba.com/game/...-vs-...-0021900212/play-by-play?watchFullGame=true", "LAC vs BOS - Q1 10:04.00")</f>
        <v>LAC vs BOS - Q1 10:04.00</v>
      </c>
      <c r="M499">
        <v>28.15</v>
      </c>
      <c r="N499">
        <v>32.9</v>
      </c>
      <c r="O499">
        <v>29.59</v>
      </c>
      <c r="P499">
        <v>102</v>
      </c>
      <c r="Q499">
        <v>257</v>
      </c>
      <c r="R499">
        <v>32</v>
      </c>
      <c r="S499">
        <v>29</v>
      </c>
      <c r="T499" t="s">
        <v>73</v>
      </c>
    </row>
    <row r="500" spans="1:20" x14ac:dyDescent="0.25">
      <c r="A500">
        <v>22000472</v>
      </c>
      <c r="B500" t="s">
        <v>10</v>
      </c>
      <c r="C500" t="s">
        <v>9</v>
      </c>
      <c r="D500">
        <v>88</v>
      </c>
      <c r="E500">
        <v>96</v>
      </c>
      <c r="F500">
        <v>8</v>
      </c>
      <c r="G500">
        <v>4</v>
      </c>
      <c r="H500" s="1">
        <v>5.0810185185185186E-3</v>
      </c>
      <c r="I500">
        <v>2020</v>
      </c>
      <c r="J500" t="s">
        <v>59</v>
      </c>
      <c r="K500" s="2" t="str">
        <f>HYPERLINK("https://www.nba.com/stats/events?CFID=&amp;CFPARAMS=&amp;GameEventID=504&amp;GameID=0022000472&amp;Season=2020-21&amp;flag=1&amp;title=P.%20George%2027'%203PT%20pullup%20(27%20PTS)%20(K.%20Leonard%203%20AST)", "P. George 27' 3PT pullup (27 PTS) (K. Leonard 3 AST)")</f>
        <v>P. George 27' 3PT pullup (27 PTS) (K. Leonard 3 AST)</v>
      </c>
      <c r="L500" s="2" t="str">
        <f>HYPERLINK("https://www.nba.com/game/...-vs-...-0022000472/play-by-play?watchFullGame=true", "LAC vs BKN - Q4 07:19.00")</f>
        <v>LAC vs BKN - Q4 07:19.00</v>
      </c>
      <c r="M500">
        <v>27.73</v>
      </c>
      <c r="N500">
        <v>32.28</v>
      </c>
      <c r="O500">
        <v>73.599999999999994</v>
      </c>
      <c r="P500">
        <v>-118</v>
      </c>
      <c r="Q500">
        <v>251</v>
      </c>
      <c r="R500">
        <v>32</v>
      </c>
      <c r="S500">
        <v>73</v>
      </c>
      <c r="T500" t="s">
        <v>73</v>
      </c>
    </row>
    <row r="501" spans="1:20" x14ac:dyDescent="0.25">
      <c r="A501">
        <v>22200810</v>
      </c>
      <c r="B501" t="s">
        <v>10</v>
      </c>
      <c r="C501" t="s">
        <v>9</v>
      </c>
      <c r="D501">
        <v>65</v>
      </c>
      <c r="E501">
        <v>59</v>
      </c>
      <c r="F501">
        <v>6</v>
      </c>
      <c r="G501">
        <v>3</v>
      </c>
      <c r="H501" s="1">
        <v>7.0486111111111114E-3</v>
      </c>
      <c r="I501">
        <v>2022</v>
      </c>
      <c r="J501" t="s">
        <v>59</v>
      </c>
      <c r="K501" s="2" t="str">
        <f>HYPERLINK("https://www.nba.com/stats/events?CFID=&amp;CFPARAMS=&amp;GameEventID=316&amp;GameID=0022200810&amp;Season=2022-23&amp;flag=1&amp;title=P.%20George%2025'%203PT%20%20(21%20PTS)%20(K.%20Leonard%202%20AST)", "P. George 25' 3PT  (21 PTS) (K. Leonard 2 AST)")</f>
        <v>P. George 25' 3PT  (21 PTS) (K. Leonard 2 AST)</v>
      </c>
      <c r="L501" s="2" t="str">
        <f>HYPERLINK("https://www.nba.com/game/...-vs-...-0022200810/play-by-play?watchFullGame=true", "LAC vs BKN - Q3 10:09.00")</f>
        <v>LAC vs BKN - Q3 10:09.00</v>
      </c>
      <c r="M501">
        <v>25.47</v>
      </c>
      <c r="N501">
        <v>32.67</v>
      </c>
      <c r="O501">
        <v>48.53</v>
      </c>
      <c r="P501">
        <v>7</v>
      </c>
      <c r="Q501">
        <v>255</v>
      </c>
      <c r="R501">
        <v>32</v>
      </c>
      <c r="S501">
        <v>48</v>
      </c>
      <c r="T501" t="s">
        <v>73</v>
      </c>
    </row>
    <row r="502" spans="1:20" x14ac:dyDescent="0.25">
      <c r="A502">
        <v>22000501</v>
      </c>
      <c r="B502" t="s">
        <v>10</v>
      </c>
      <c r="C502" t="s">
        <v>9</v>
      </c>
      <c r="D502">
        <v>61</v>
      </c>
      <c r="E502">
        <v>67</v>
      </c>
      <c r="F502">
        <v>6</v>
      </c>
      <c r="G502">
        <v>3</v>
      </c>
      <c r="H502" s="1">
        <v>5.9606481481481481E-3</v>
      </c>
      <c r="I502">
        <v>2020</v>
      </c>
      <c r="J502" t="s">
        <v>59</v>
      </c>
      <c r="K502" s="2" t="str">
        <f>HYPERLINK("https://www.nba.com/stats/events?CFID=&amp;CFPARAMS=&amp;GameEventID=340&amp;GameID=0022000501&amp;Season=2020-21&amp;flag=1&amp;title=P.%20Beverley%2026'%203PT%20%20(5%20PTS)%20(K.%20Leonard%207%20AST)", "P. Beverley 26' 3PT  (5 PTS) (K. Leonard 7 AST)")</f>
        <v>P. Beverley 26' 3PT  (5 PTS) (K. Leonard 7 AST)</v>
      </c>
      <c r="L502" s="2" t="str">
        <f>HYPERLINK("https://www.nba.com/game/...-vs-...-0022000501/play-by-play?watchFullGame=true", "LAC vs MEM - Q3 08:35.00")</f>
        <v>LAC vs MEM - Q3 08:35.00</v>
      </c>
      <c r="M502">
        <v>26.28</v>
      </c>
      <c r="N502">
        <v>32.54</v>
      </c>
      <c r="O502">
        <v>36.1</v>
      </c>
      <c r="P502">
        <v>70</v>
      </c>
      <c r="Q502">
        <v>253</v>
      </c>
      <c r="R502">
        <v>32</v>
      </c>
      <c r="S502">
        <v>36</v>
      </c>
      <c r="T502" t="s">
        <v>73</v>
      </c>
    </row>
    <row r="503" spans="1:20" x14ac:dyDescent="0.25">
      <c r="A503">
        <v>22300085</v>
      </c>
      <c r="B503" t="s">
        <v>10</v>
      </c>
      <c r="C503" t="s">
        <v>9</v>
      </c>
      <c r="D503">
        <v>101</v>
      </c>
      <c r="E503">
        <v>101</v>
      </c>
      <c r="F503">
        <v>0</v>
      </c>
      <c r="G503">
        <v>4</v>
      </c>
      <c r="H503" s="1">
        <v>4.4907407407407405E-3</v>
      </c>
      <c r="I503">
        <v>2023</v>
      </c>
      <c r="J503" t="s">
        <v>59</v>
      </c>
      <c r="K503" s="2" t="str">
        <f>HYPERLINK("https://www.nba.com/stats/events?CFID=&amp;CFPARAMS=&amp;GameEventID=575&amp;GameID=0022300085&amp;Season=2023-24&amp;flag=1&amp;title=N.%20Powell%2025'%203PT%20%20(16%20PTS)%20(K.%20Leonard%203%20AST)", "N. Powell 25' 3PT  (16 PTS) (K. Leonard 3 AST)")</f>
        <v>N. Powell 25' 3PT  (16 PTS) (K. Leonard 3 AST)</v>
      </c>
      <c r="L503" s="2" t="str">
        <f>HYPERLINK("https://www.nba.com/game/...-vs-...-0022300085/play-by-play?watchFullGame=true", "LAC vs UTA - Q4 06:28.00")</f>
        <v>LAC vs UTA - Q4 06:28.00</v>
      </c>
      <c r="M503">
        <v>25.21</v>
      </c>
      <c r="N503">
        <v>32.409999999999997</v>
      </c>
      <c r="O503">
        <v>50</v>
      </c>
      <c r="P503">
        <v>32</v>
      </c>
      <c r="Q503">
        <v>252</v>
      </c>
      <c r="R503">
        <v>32</v>
      </c>
      <c r="S503">
        <v>50</v>
      </c>
      <c r="T503" t="s">
        <v>73</v>
      </c>
    </row>
    <row r="504" spans="1:20" x14ac:dyDescent="0.25">
      <c r="A504">
        <v>22300223</v>
      </c>
      <c r="B504" t="s">
        <v>10</v>
      </c>
      <c r="C504" t="s">
        <v>9</v>
      </c>
      <c r="D504">
        <v>79</v>
      </c>
      <c r="E504">
        <v>64</v>
      </c>
      <c r="F504">
        <v>15</v>
      </c>
      <c r="G504">
        <v>3</v>
      </c>
      <c r="H504" s="1">
        <v>4.6296296296296294E-3</v>
      </c>
      <c r="I504">
        <v>2023</v>
      </c>
      <c r="J504" t="s">
        <v>59</v>
      </c>
      <c r="K504" s="2" t="str">
        <f>HYPERLINK("https://www.nba.com/stats/events?CFID=&amp;CFPARAMS=&amp;GameEventID=364&amp;GameID=0022300223&amp;Season=2023-24&amp;flag=1&amp;title=J.%20Harden%2025'%203PT%20pullup%20(13%20PTS)%20(K.%20Leonard%203%20AST)", "J. Harden 25' 3PT pullup (13 PTS) (K. Leonard 3 AST)")</f>
        <v>J. Harden 25' 3PT pullup (13 PTS) (K. Leonard 3 AST)</v>
      </c>
      <c r="L504" s="2" t="str">
        <f>HYPERLINK("https://www.nba.com/game/...-vs-...-0022300223/play-by-play?watchFullGame=true", "LAC vs SAS - Q3 06:40.00")</f>
        <v>LAC vs SAS - Q3 06:40.00</v>
      </c>
      <c r="M504">
        <v>25.74</v>
      </c>
      <c r="N504">
        <v>32.67</v>
      </c>
      <c r="O504">
        <v>42.4</v>
      </c>
      <c r="P504">
        <v>38</v>
      </c>
      <c r="Q504">
        <v>255</v>
      </c>
      <c r="R504">
        <v>32</v>
      </c>
      <c r="S504">
        <v>42</v>
      </c>
      <c r="T504" t="s">
        <v>73</v>
      </c>
    </row>
    <row r="505" spans="1:20" x14ac:dyDescent="0.25">
      <c r="A505">
        <v>22200970</v>
      </c>
      <c r="B505" t="s">
        <v>10</v>
      </c>
      <c r="C505" t="s">
        <v>9</v>
      </c>
      <c r="D505">
        <v>67</v>
      </c>
      <c r="E505">
        <v>56</v>
      </c>
      <c r="F505">
        <v>11</v>
      </c>
      <c r="G505">
        <v>2</v>
      </c>
      <c r="H505" s="1">
        <v>5.0231481481481481E-4</v>
      </c>
      <c r="I505">
        <v>2022</v>
      </c>
      <c r="J505" t="s">
        <v>59</v>
      </c>
      <c r="K505" s="2" t="str">
        <f>HYPERLINK("https://www.nba.com/stats/events?CFID=&amp;CFPARAMS=&amp;GameEventID=310&amp;GameID=0022200970&amp;Season=2022-23&amp;flag=1&amp;title=E.%20Gordon%2027'%203PT%20%20(15%20PTS)%20(K.%20Leonard%202%20AST)", "E. Gordon 27' 3PT  (15 PTS) (K. Leonard 2 AST)")</f>
        <v>E. Gordon 27' 3PT  (15 PTS) (K. Leonard 2 AST)</v>
      </c>
      <c r="L505" s="2" t="str">
        <f>HYPERLINK("https://www.nba.com/game/...-vs-...-0022200970/play-by-play?watchFullGame=true", "LAC vs MEM - Q2 00:43.40")</f>
        <v>LAC vs MEM - Q2 00:43.40</v>
      </c>
      <c r="M505">
        <v>27.9</v>
      </c>
      <c r="N505">
        <v>32.380000000000003</v>
      </c>
      <c r="O505">
        <v>25.98</v>
      </c>
      <c r="P505">
        <v>120</v>
      </c>
      <c r="Q505">
        <v>252</v>
      </c>
      <c r="R505">
        <v>32</v>
      </c>
      <c r="S505">
        <v>25</v>
      </c>
      <c r="T505" t="s">
        <v>73</v>
      </c>
    </row>
    <row r="506" spans="1:20" x14ac:dyDescent="0.25">
      <c r="A506">
        <v>22300807</v>
      </c>
      <c r="B506" t="s">
        <v>10</v>
      </c>
      <c r="C506" t="s">
        <v>9</v>
      </c>
      <c r="D506">
        <v>23</v>
      </c>
      <c r="E506">
        <v>16</v>
      </c>
      <c r="F506">
        <v>7</v>
      </c>
      <c r="G506">
        <v>1</v>
      </c>
      <c r="H506" s="1">
        <v>3.3564814814814816E-3</v>
      </c>
      <c r="I506">
        <v>2023</v>
      </c>
      <c r="J506" t="s">
        <v>59</v>
      </c>
      <c r="K506" s="2" t="str">
        <f>HYPERLINK("https://www.nba.com/stats/events?CFID=&amp;CFPARAMS=&amp;GameEventID=79&amp;GameID=0022300807&amp;Season=2023-24&amp;flag=1&amp;title=P.%20George%2025'%203PT%20%20(3%20PTS)%20(K.%20Leonard%201%20AST)", "P. George 25' 3PT  (3 PTS) (K. Leonard 1 AST)")</f>
        <v>P. George 25' 3PT  (3 PTS) (K. Leonard 1 AST)</v>
      </c>
      <c r="L506" s="2" t="str">
        <f>HYPERLINK("https://www.nba.com/game/...-vs-...-0022300807/play-by-play?watchFullGame=true", "LAC vs MEM - Q1 04:50.00")</f>
        <v>LAC vs MEM - Q1 04:50.00</v>
      </c>
      <c r="M506">
        <v>25.17</v>
      </c>
      <c r="N506">
        <v>32.28</v>
      </c>
      <c r="O506">
        <v>53.92</v>
      </c>
      <c r="P506">
        <v>-20</v>
      </c>
      <c r="Q506">
        <v>251</v>
      </c>
      <c r="R506">
        <v>32</v>
      </c>
      <c r="S506">
        <v>53</v>
      </c>
      <c r="T506" t="s">
        <v>73</v>
      </c>
    </row>
    <row r="507" spans="1:20" x14ac:dyDescent="0.25">
      <c r="A507">
        <v>42000177</v>
      </c>
      <c r="B507" t="s">
        <v>10</v>
      </c>
      <c r="C507" t="s">
        <v>9</v>
      </c>
      <c r="D507">
        <v>117</v>
      </c>
      <c r="E507">
        <v>107</v>
      </c>
      <c r="F507">
        <v>10</v>
      </c>
      <c r="G507">
        <v>4</v>
      </c>
      <c r="H507" s="1">
        <v>1.2152777777777778E-3</v>
      </c>
      <c r="I507" t="s">
        <v>66</v>
      </c>
      <c r="J507" t="s">
        <v>59</v>
      </c>
      <c r="K507" s="2" t="str">
        <f>HYPERLINK("https://www.nba.com/stats/events?CFID=&amp;CFPARAMS=&amp;GameEventID=590&amp;GameID=0042000177&amp;Season=2020-21&amp;flag=1&amp;title=R.%20Jackson%2025'%203PT%20pullup%20(13%20PTS)%20(K.%20Leonard%208%20AST)", "R. Jackson 25' 3PT pullup (13 PTS) (K. Leonard 8 AST)")</f>
        <v>R. Jackson 25' 3PT pullup (13 PTS) (K. Leonard 8 AST)</v>
      </c>
      <c r="L507" s="2" t="str">
        <f>HYPERLINK("https://www.nba.com/game/...-vs-...-0042000177/play-by-play?watchFullGame=true", "LAC vs DAL - Q4 01:45.00")</f>
        <v>LAC vs DAL - Q4 01:45.00</v>
      </c>
      <c r="M507">
        <v>25.53</v>
      </c>
      <c r="N507">
        <v>32.15</v>
      </c>
      <c r="O507">
        <v>60.61</v>
      </c>
      <c r="P507">
        <v>32</v>
      </c>
      <c r="Q507">
        <v>60</v>
      </c>
      <c r="R507">
        <v>32</v>
      </c>
      <c r="S507">
        <v>60</v>
      </c>
      <c r="T507" t="s">
        <v>73</v>
      </c>
    </row>
    <row r="508" spans="1:20" x14ac:dyDescent="0.25">
      <c r="A508">
        <v>42000177</v>
      </c>
      <c r="B508" t="s">
        <v>10</v>
      </c>
      <c r="C508" t="s">
        <v>9</v>
      </c>
      <c r="D508">
        <v>114</v>
      </c>
      <c r="E508">
        <v>100</v>
      </c>
      <c r="F508">
        <v>14</v>
      </c>
      <c r="G508">
        <v>4</v>
      </c>
      <c r="H508" s="1">
        <v>2.9629629629629628E-3</v>
      </c>
      <c r="I508" t="s">
        <v>66</v>
      </c>
      <c r="J508" t="s">
        <v>59</v>
      </c>
      <c r="K508" s="2" t="str">
        <f>HYPERLINK("https://www.nba.com/stats/events?CFID=&amp;CFPARAMS=&amp;GameEventID=572&amp;GameID=0042000177&amp;Season=2020-21&amp;flag=1&amp;title=R.%20Jackson%2027'%203PT%20%20(10%20PTS)%20(K.%20Leonard%207%20AST)", "R. Jackson 27' 3PT  (10 PTS) (K. Leonard 7 AST)")</f>
        <v>R. Jackson 27' 3PT  (10 PTS) (K. Leonard 7 AST)</v>
      </c>
      <c r="L508" s="2" t="str">
        <f>HYPERLINK("https://www.nba.com/game/...-vs-...-0042000177/play-by-play?watchFullGame=true", "LAC vs DAL - Q4 04:16.00")</f>
        <v>LAC vs DAL - Q4 04:16.00</v>
      </c>
      <c r="M508">
        <v>27.9</v>
      </c>
      <c r="N508">
        <v>32.54</v>
      </c>
      <c r="O508">
        <v>73.349999999999994</v>
      </c>
      <c r="P508">
        <v>32</v>
      </c>
      <c r="Q508">
        <v>73</v>
      </c>
      <c r="R508">
        <v>32</v>
      </c>
      <c r="S508">
        <v>73</v>
      </c>
      <c r="T508" t="s">
        <v>73</v>
      </c>
    </row>
    <row r="509" spans="1:20" x14ac:dyDescent="0.25">
      <c r="A509">
        <v>42000175</v>
      </c>
      <c r="B509" t="s">
        <v>10</v>
      </c>
      <c r="C509" t="s">
        <v>9</v>
      </c>
      <c r="D509">
        <v>62</v>
      </c>
      <c r="E509">
        <v>59</v>
      </c>
      <c r="F509">
        <v>3</v>
      </c>
      <c r="G509">
        <v>3</v>
      </c>
      <c r="H509" s="1">
        <v>6.9560185185185185E-3</v>
      </c>
      <c r="I509" t="s">
        <v>66</v>
      </c>
      <c r="J509" t="s">
        <v>59</v>
      </c>
      <c r="K509" s="2" t="str">
        <f>HYPERLINK("https://www.nba.com/stats/events?CFID=&amp;CFPARAMS=&amp;GameEventID=358&amp;GameID=0042000175&amp;Season=2020-21&amp;flag=1&amp;title=R.%20Jackson%2027'%203PT%20%20(11%20PTS)%20(K.%20Leonard%205%20AST)", "R. Jackson 27' 3PT  (11 PTS) (K. Leonard 5 AST)")</f>
        <v>R. Jackson 27' 3PT  (11 PTS) (K. Leonard 5 AST)</v>
      </c>
      <c r="L509" s="2" t="str">
        <f>HYPERLINK("https://www.nba.com/game/...-vs-...-0042000175/play-by-play?watchFullGame=true", "LAC vs DAL - Q3 10:01.00")</f>
        <v>LAC vs DAL - Q3 10:01.00</v>
      </c>
      <c r="M509">
        <v>27.37</v>
      </c>
      <c r="N509">
        <v>32.28</v>
      </c>
      <c r="O509">
        <v>71.88</v>
      </c>
      <c r="P509">
        <v>32</v>
      </c>
      <c r="Q509">
        <v>71</v>
      </c>
      <c r="R509">
        <v>32</v>
      </c>
      <c r="S509">
        <v>71</v>
      </c>
      <c r="T509" t="s">
        <v>73</v>
      </c>
    </row>
    <row r="510" spans="1:20" x14ac:dyDescent="0.25">
      <c r="A510">
        <v>22200389</v>
      </c>
      <c r="B510" t="s">
        <v>10</v>
      </c>
      <c r="C510" t="s">
        <v>9</v>
      </c>
      <c r="D510">
        <v>103</v>
      </c>
      <c r="E510">
        <v>100</v>
      </c>
      <c r="F510">
        <v>3</v>
      </c>
      <c r="G510">
        <v>4</v>
      </c>
      <c r="H510" s="1">
        <v>3.0902777777777777E-3</v>
      </c>
      <c r="I510">
        <v>2022</v>
      </c>
      <c r="J510" t="s">
        <v>59</v>
      </c>
      <c r="K510" s="2" t="str">
        <f>HYPERLINK("https://www.nba.com/stats/events?CFID=&amp;CFPARAMS=&amp;GameEventID=587&amp;GameID=0022200389&amp;Season=2022-23&amp;flag=1&amp;title=N.%20Batum%2027'%203PT%20%20(9%20PTS)%20(K.%20Leonard%205%20AST)", "N. Batum 27' 3PT  (9 PTS) (K. Leonard 5 AST)")</f>
        <v>N. Batum 27' 3PT  (9 PTS) (K. Leonard 5 AST)</v>
      </c>
      <c r="L510" s="2" t="str">
        <f>HYPERLINK("https://www.nba.com/game/...-vs-...-0022200389/play-by-play?watchFullGame=true", "LAC vs WAS - Q4 04:27.00")</f>
        <v>LAC vs WAS - Q4 04:27.00</v>
      </c>
      <c r="M510">
        <v>27.06</v>
      </c>
      <c r="N510">
        <v>33.590000000000003</v>
      </c>
      <c r="O510">
        <v>37.5</v>
      </c>
      <c r="P510">
        <v>62</v>
      </c>
      <c r="Q510">
        <v>263</v>
      </c>
      <c r="R510">
        <v>33</v>
      </c>
      <c r="S510">
        <v>37</v>
      </c>
      <c r="T510" t="s">
        <v>73</v>
      </c>
    </row>
    <row r="511" spans="1:20" x14ac:dyDescent="0.25">
      <c r="A511">
        <v>22000202</v>
      </c>
      <c r="B511" t="s">
        <v>10</v>
      </c>
      <c r="C511" t="s">
        <v>9</v>
      </c>
      <c r="D511">
        <v>91</v>
      </c>
      <c r="E511">
        <v>72</v>
      </c>
      <c r="F511">
        <v>19</v>
      </c>
      <c r="G511">
        <v>3</v>
      </c>
      <c r="H511" s="1">
        <v>1.5162037037037036E-3</v>
      </c>
      <c r="I511">
        <v>2020</v>
      </c>
      <c r="J511" t="s">
        <v>59</v>
      </c>
      <c r="K511" s="2" t="str">
        <f>HYPERLINK("https://www.nba.com/stats/events?CFID=&amp;CFPARAMS=&amp;GameEventID=416&amp;GameID=0022000202&amp;Season=2020-21&amp;flag=1&amp;title=L.%20Kennard%2027'%203PT%20%20(11%20PTS)%20(K.%20Leonard%204%20AST)", "L. Kennard 27' 3PT  (11 PTS) (K. Leonard 4 AST)")</f>
        <v>L. Kennard 27' 3PT  (11 PTS) (K. Leonard 4 AST)</v>
      </c>
      <c r="L511" s="2" t="str">
        <f>HYPERLINK("https://www.nba.com/game/...-vs-...-0022000202/play-by-play?watchFullGame=true", "LAC vs IND - Q3 02:11.00")</f>
        <v>LAC vs IND - Q3 02:11.00</v>
      </c>
      <c r="M511">
        <v>27.32</v>
      </c>
      <c r="N511">
        <v>33.979999999999997</v>
      </c>
      <c r="O511">
        <v>61.59</v>
      </c>
      <c r="P511">
        <v>-58</v>
      </c>
      <c r="Q511">
        <v>267</v>
      </c>
      <c r="R511">
        <v>33</v>
      </c>
      <c r="S511">
        <v>61</v>
      </c>
      <c r="T511" t="s">
        <v>73</v>
      </c>
    </row>
    <row r="512" spans="1:20" x14ac:dyDescent="0.25">
      <c r="A512">
        <v>22000457</v>
      </c>
      <c r="B512" t="s">
        <v>10</v>
      </c>
      <c r="C512" t="s">
        <v>9</v>
      </c>
      <c r="D512">
        <v>9</v>
      </c>
      <c r="E512">
        <v>7</v>
      </c>
      <c r="F512">
        <v>2</v>
      </c>
      <c r="G512">
        <v>1</v>
      </c>
      <c r="H512" s="1">
        <v>5.5439814814814813E-3</v>
      </c>
      <c r="I512">
        <v>2020</v>
      </c>
      <c r="J512" t="s">
        <v>59</v>
      </c>
      <c r="K512" s="2" t="str">
        <f>HYPERLINK("https://www.nba.com/stats/events?CFID=&amp;CFPARAMS=&amp;GameEventID=39&amp;GameID=0022000457&amp;Season=2020-21&amp;flag=1&amp;title=Ibaka%2026'%203PT%20%20(3%20PTS)%20(K.%20Leonard%202%20AST)", "S. Ibaka 26' 3PT  (3 PTS) (K. Leonard 2 AST)")</f>
        <v>S. Ibaka 26' 3PT  (3 PTS) (K. Leonard 2 AST)</v>
      </c>
      <c r="L512" s="2" t="str">
        <f>HYPERLINK("https://www.nba.com/game/...-vs-...-0022000457/play-by-play?watchFullGame=true", "LAC vs UTA - Q1 07:59.00")</f>
        <v>LAC vs UTA - Q1 07:59.00</v>
      </c>
      <c r="M512">
        <v>26.68</v>
      </c>
      <c r="N512">
        <v>33.72</v>
      </c>
      <c r="O512">
        <v>42.96</v>
      </c>
      <c r="P512">
        <v>35</v>
      </c>
      <c r="Q512">
        <v>264</v>
      </c>
      <c r="R512">
        <v>33</v>
      </c>
      <c r="S512">
        <v>42</v>
      </c>
      <c r="T512" t="s">
        <v>73</v>
      </c>
    </row>
    <row r="513" spans="1:20" x14ac:dyDescent="0.25">
      <c r="A513">
        <v>22000251</v>
      </c>
      <c r="B513" t="s">
        <v>10</v>
      </c>
      <c r="C513" t="s">
        <v>9</v>
      </c>
      <c r="D513">
        <v>66</v>
      </c>
      <c r="E513">
        <v>56</v>
      </c>
      <c r="F513">
        <v>10</v>
      </c>
      <c r="G513">
        <v>3</v>
      </c>
      <c r="H513" s="1">
        <v>5.9722222222222225E-3</v>
      </c>
      <c r="I513">
        <v>2020</v>
      </c>
      <c r="J513" t="s">
        <v>59</v>
      </c>
      <c r="K513" s="2" t="str">
        <f>HYPERLINK("https://www.nba.com/stats/events?CFID=&amp;CFPARAMS=&amp;GameEventID=344&amp;GameID=0022000251&amp;Season=2020-21&amp;flag=1&amp;title=R.%20Jackson%2027'%203PT%20%20(3%20PTS)%20(K.%20Leonard%205%20AST)", "R. Jackson 27' 3PT  (3 PTS) (K. Leonard 5 AST)")</f>
        <v>R. Jackson 27' 3PT  (3 PTS) (K. Leonard 5 AST)</v>
      </c>
      <c r="L513" s="2" t="str">
        <f>HYPERLINK("https://www.nba.com/game/...-vs-...-0022000251/play-by-play?watchFullGame=true", "LAC vs OKC - Q3 08:36.00")</f>
        <v>LAC vs OKC - Q3 08:36.00</v>
      </c>
      <c r="M513">
        <v>27.48</v>
      </c>
      <c r="N513">
        <v>33.46</v>
      </c>
      <c r="O513">
        <v>33.4</v>
      </c>
      <c r="P513">
        <v>83</v>
      </c>
      <c r="Q513">
        <v>262</v>
      </c>
      <c r="R513">
        <v>33</v>
      </c>
      <c r="S513">
        <v>33</v>
      </c>
      <c r="T513" t="s">
        <v>73</v>
      </c>
    </row>
    <row r="514" spans="1:20" x14ac:dyDescent="0.25">
      <c r="A514">
        <v>22301043</v>
      </c>
      <c r="B514" t="s">
        <v>10</v>
      </c>
      <c r="C514" t="s">
        <v>9</v>
      </c>
      <c r="D514">
        <v>23</v>
      </c>
      <c r="E514">
        <v>17</v>
      </c>
      <c r="F514">
        <v>6</v>
      </c>
      <c r="G514">
        <v>1</v>
      </c>
      <c r="H514" s="1">
        <v>2.9282407407407408E-3</v>
      </c>
      <c r="I514">
        <v>2023</v>
      </c>
      <c r="J514" t="s">
        <v>59</v>
      </c>
      <c r="K514" s="2" t="str">
        <f>HYPERLINK("https://www.nba.com/stats/events?CFID=&amp;CFPARAMS=&amp;GameEventID=89&amp;GameID=0022301043&amp;Season=2023-24&amp;flag=1&amp;title=N.%20Powell%2027'%203PT%20%20(6%20PTS)%20(K.%20Leonard%202%20AST)", "N. Powell 27' 3PT  (6 PTS) (K. Leonard 2 AST)")</f>
        <v>N. Powell 27' 3PT  (6 PTS) (K. Leonard 2 AST)</v>
      </c>
      <c r="L514" s="2" t="str">
        <f>HYPERLINK("https://www.nba.com/game/...-vs-...-0022301043/play-by-play?watchFullGame=true", "LAC vs IND - Q1 04:13.00")</f>
        <v>LAC vs IND - Q1 04:13.00</v>
      </c>
      <c r="M514">
        <v>27.85</v>
      </c>
      <c r="N514">
        <v>33.69</v>
      </c>
      <c r="O514">
        <v>67.650000000000006</v>
      </c>
      <c r="P514">
        <v>-88</v>
      </c>
      <c r="Q514">
        <v>264</v>
      </c>
      <c r="R514">
        <v>33</v>
      </c>
      <c r="S514">
        <v>67</v>
      </c>
      <c r="T514" t="s">
        <v>73</v>
      </c>
    </row>
    <row r="515" spans="1:20" x14ac:dyDescent="0.25">
      <c r="A515">
        <v>22200476</v>
      </c>
      <c r="B515" t="s">
        <v>10</v>
      </c>
      <c r="C515" t="s">
        <v>9</v>
      </c>
      <c r="D515">
        <v>81</v>
      </c>
      <c r="E515">
        <v>58</v>
      </c>
      <c r="F515">
        <v>23</v>
      </c>
      <c r="G515">
        <v>3</v>
      </c>
      <c r="H515" s="1">
        <v>4.0162037037037041E-3</v>
      </c>
      <c r="I515">
        <v>2022</v>
      </c>
      <c r="J515" t="s">
        <v>59</v>
      </c>
      <c r="K515" s="2" t="str">
        <f>HYPERLINK("https://www.nba.com/stats/events?CFID=&amp;CFPARAMS=&amp;GameEventID=445&amp;GameID=0022200476&amp;Season=2022-23&amp;flag=1&amp;title=N.%20Batum%2027'%203PT%20%20(9%20PTS)%20(K.%20Leonard%204%20AST)", "N. Batum 27' 3PT  (9 PTS) (K. Leonard 4 AST)")</f>
        <v>N. Batum 27' 3PT  (9 PTS) (K. Leonard 4 AST)</v>
      </c>
      <c r="L515" s="2" t="str">
        <f>HYPERLINK("https://www.nba.com/game/...-vs-...-0022200476/play-by-play?watchFullGame=true", "LAC vs CHA - Q3 05:47.00")</f>
        <v>LAC vs CHA - Q3 05:47.00</v>
      </c>
      <c r="M515">
        <v>27.04</v>
      </c>
      <c r="N515">
        <v>33.69</v>
      </c>
      <c r="O515">
        <v>61.52</v>
      </c>
      <c r="P515">
        <v>-58</v>
      </c>
      <c r="Q515">
        <v>264</v>
      </c>
      <c r="R515">
        <v>33</v>
      </c>
      <c r="S515">
        <v>61</v>
      </c>
      <c r="T515" t="s">
        <v>73</v>
      </c>
    </row>
    <row r="516" spans="1:20" x14ac:dyDescent="0.25">
      <c r="A516">
        <v>22300749</v>
      </c>
      <c r="B516" t="s">
        <v>10</v>
      </c>
      <c r="C516" t="s">
        <v>9</v>
      </c>
      <c r="D516">
        <v>107</v>
      </c>
      <c r="E516">
        <v>94</v>
      </c>
      <c r="F516">
        <v>13</v>
      </c>
      <c r="G516">
        <v>4</v>
      </c>
      <c r="H516" s="1">
        <v>2.5115740740740741E-3</v>
      </c>
      <c r="I516">
        <v>2023</v>
      </c>
      <c r="J516" t="s">
        <v>59</v>
      </c>
      <c r="K516" s="2" t="str">
        <f>HYPERLINK("https://www.nba.com/stats/events?CFID=&amp;CFPARAMS=&amp;GameEventID=587&amp;GameID=0022300749&amp;Season=2023-24&amp;flag=1&amp;title=P.%20George%2026'%203PT%20%20(31%20PTS)%20(K.%20Leonard%205%20AST)", "P. George 26' 3PT  (31 PTS) (K. Leonard 5 AST)")</f>
        <v>P. George 26' 3PT  (31 PTS) (K. Leonard 5 AST)</v>
      </c>
      <c r="L516" s="2" t="str">
        <f>HYPERLINK("https://www.nba.com/game/...-vs-...-0022300749/play-by-play?watchFullGame=true", "LAC vs DET - Q4 03:37.00")</f>
        <v>LAC vs DET - Q4 03:37.00</v>
      </c>
      <c r="M516">
        <v>26.39</v>
      </c>
      <c r="N516">
        <v>33.200000000000003</v>
      </c>
      <c r="O516">
        <v>40.44</v>
      </c>
      <c r="P516">
        <v>48</v>
      </c>
      <c r="Q516">
        <v>260</v>
      </c>
      <c r="R516">
        <v>33</v>
      </c>
      <c r="S516">
        <v>40</v>
      </c>
      <c r="T516" t="s">
        <v>73</v>
      </c>
    </row>
    <row r="517" spans="1:20" x14ac:dyDescent="0.25">
      <c r="A517">
        <v>22300052</v>
      </c>
      <c r="B517" t="s">
        <v>10</v>
      </c>
      <c r="C517" t="s">
        <v>9</v>
      </c>
      <c r="D517">
        <v>55</v>
      </c>
      <c r="E517">
        <v>56</v>
      </c>
      <c r="F517">
        <v>1</v>
      </c>
      <c r="G517">
        <v>2</v>
      </c>
      <c r="H517" s="1">
        <v>3.5300925925925924E-4</v>
      </c>
      <c r="I517">
        <v>2023</v>
      </c>
      <c r="J517" t="s">
        <v>59</v>
      </c>
      <c r="K517" s="2" t="str">
        <f>HYPERLINK("https://www.nba.com/stats/events?CFID=&amp;CFPARAMS=&amp;GameEventID=315&amp;GameID=0022300052&amp;Season=2023-24&amp;flag=1&amp;title=D.%20Theis%2027'%203PT%20%20(3%20PTS)%20(K.%20Leonard%202%20AST)", "D. Theis 27' 3PT  (3 PTS) (K. Leonard 2 AST)")</f>
        <v>D. Theis 27' 3PT  (3 PTS) (K. Leonard 2 AST)</v>
      </c>
      <c r="L517" s="2" t="str">
        <f>HYPERLINK("https://www.nba.com/game/...-vs-...-0022300052/play-by-play?watchFullGame=true", "LAC vs NOP - Q2 00:30.50")</f>
        <v>LAC vs NOP - Q2 00:30.50</v>
      </c>
      <c r="M517">
        <v>27.67</v>
      </c>
      <c r="N517">
        <v>33.159999999999997</v>
      </c>
      <c r="O517">
        <v>30.64</v>
      </c>
      <c r="P517">
        <v>97</v>
      </c>
      <c r="Q517">
        <v>259</v>
      </c>
      <c r="R517">
        <v>33</v>
      </c>
      <c r="S517">
        <v>30</v>
      </c>
      <c r="T517" t="s">
        <v>73</v>
      </c>
    </row>
    <row r="518" spans="1:20" x14ac:dyDescent="0.25">
      <c r="A518">
        <v>22201196</v>
      </c>
      <c r="B518" t="s">
        <v>10</v>
      </c>
      <c r="C518" t="s">
        <v>9</v>
      </c>
      <c r="D518">
        <v>96</v>
      </c>
      <c r="E518">
        <v>82</v>
      </c>
      <c r="F518">
        <v>14</v>
      </c>
      <c r="G518">
        <v>4</v>
      </c>
      <c r="H518" s="1">
        <v>8.0787037037037043E-3</v>
      </c>
      <c r="I518">
        <v>2022</v>
      </c>
      <c r="J518" t="s">
        <v>59</v>
      </c>
      <c r="K518" s="2" t="str">
        <f>HYPERLINK("https://www.nba.com/stats/events?CFID=&amp;CFPARAMS=&amp;GameEventID=461&amp;GameID=0022201196&amp;Season=2022-23&amp;flag=1&amp;title=B.%20Hyland%2026'%203PT%20%20(3%20PTS)%20(K.%20Leonard%203%20AST)", "B. Hyland 26' 3PT  (3 PTS) (K. Leonard 3 AST)")</f>
        <v>B. Hyland 26' 3PT  (3 PTS) (K. Leonard 3 AST)</v>
      </c>
      <c r="L518" s="2" t="str">
        <f>HYPERLINK("https://www.nba.com/game/...-vs-...-0022201196/play-by-play?watchFullGame=true", "LAC vs LAL - Q4 11:38.00")</f>
        <v>LAC vs LAL - Q4 11:38.00</v>
      </c>
      <c r="M518">
        <v>26.66</v>
      </c>
      <c r="N518">
        <v>33.950000000000003</v>
      </c>
      <c r="O518">
        <v>50.74</v>
      </c>
      <c r="P518">
        <v>-4</v>
      </c>
      <c r="Q518">
        <v>267</v>
      </c>
      <c r="R518">
        <v>33</v>
      </c>
      <c r="S518">
        <v>50</v>
      </c>
      <c r="T518" t="s">
        <v>73</v>
      </c>
    </row>
    <row r="519" spans="1:20" x14ac:dyDescent="0.25">
      <c r="A519">
        <v>22300880</v>
      </c>
      <c r="B519" t="s">
        <v>10</v>
      </c>
      <c r="C519" t="s">
        <v>9</v>
      </c>
      <c r="D519">
        <v>30</v>
      </c>
      <c r="E519">
        <v>23</v>
      </c>
      <c r="F519">
        <v>7</v>
      </c>
      <c r="G519">
        <v>1</v>
      </c>
      <c r="H519" s="1">
        <v>1.1342592592592593E-3</v>
      </c>
      <c r="I519">
        <v>2023</v>
      </c>
      <c r="J519" t="s">
        <v>59</v>
      </c>
      <c r="K519" s="2" t="str">
        <f>HYPERLINK("https://www.nba.com/stats/events?CFID=&amp;CFPARAMS=&amp;GameEventID=116&amp;GameID=0022300880&amp;Season=2023-24&amp;flag=1&amp;title=D.%20Theis%2026'%203PT%20%20(3%20PTS)%20(K.%20Leonard%203%20AST)", "D. Theis 26' 3PT  (3 PTS) (K. Leonard 3 AST)")</f>
        <v>D. Theis 26' 3PT  (3 PTS) (K. Leonard 3 AST)</v>
      </c>
      <c r="L519" s="2" t="str">
        <f>HYPERLINK("https://www.nba.com/game/...-vs-...-0022300880/play-by-play?watchFullGame=true", "LAC vs MIL - Q1 01:38.00")</f>
        <v>LAC vs MIL - Q1 01:38.00</v>
      </c>
      <c r="M519">
        <v>26.49</v>
      </c>
      <c r="N519">
        <v>33.590000000000003</v>
      </c>
      <c r="O519">
        <v>55.88</v>
      </c>
      <c r="P519">
        <v>-29</v>
      </c>
      <c r="Q519">
        <v>263</v>
      </c>
      <c r="R519">
        <v>33</v>
      </c>
      <c r="S519">
        <v>55</v>
      </c>
      <c r="T519" t="s">
        <v>73</v>
      </c>
    </row>
    <row r="520" spans="1:20" x14ac:dyDescent="0.25">
      <c r="A520">
        <v>42000171</v>
      </c>
      <c r="B520" t="s">
        <v>10</v>
      </c>
      <c r="C520" t="s">
        <v>9</v>
      </c>
      <c r="D520">
        <v>97</v>
      </c>
      <c r="E520">
        <v>95</v>
      </c>
      <c r="F520">
        <v>2</v>
      </c>
      <c r="G520">
        <v>4</v>
      </c>
      <c r="H520" s="1">
        <v>4.5370370370370373E-3</v>
      </c>
      <c r="I520" t="s">
        <v>66</v>
      </c>
      <c r="J520" t="s">
        <v>59</v>
      </c>
      <c r="K520" s="2" t="str">
        <f>HYPERLINK("https://www.nba.com/stats/events?CFID=&amp;CFPARAMS=&amp;GameEventID=532&amp;GameID=0042000171&amp;Season=2020-21&amp;flag=1&amp;title=R.%20Rondo%2026'%203PT%20%20(10%20PTS)%20(K.%20Leonard%205%20AST)", "R. Rondo 26' 3PT  (10 PTS) (K. Leonard 5 AST)")</f>
        <v>R. Rondo 26' 3PT  (10 PTS) (K. Leonard 5 AST)</v>
      </c>
      <c r="L520" s="2" t="str">
        <f>HYPERLINK("https://www.nba.com/game/...-vs-...-0042000171/play-by-play?watchFullGame=true", "LAC vs DAL - Q4 06:32.00")</f>
        <v>LAC vs DAL - Q4 06:32.00</v>
      </c>
      <c r="M520">
        <v>26.81</v>
      </c>
      <c r="N520">
        <v>33.07</v>
      </c>
      <c r="O520">
        <v>35.61</v>
      </c>
      <c r="P520">
        <v>33</v>
      </c>
      <c r="Q520">
        <v>35</v>
      </c>
      <c r="R520">
        <v>33</v>
      </c>
      <c r="S520">
        <v>35</v>
      </c>
      <c r="T520" t="s">
        <v>73</v>
      </c>
    </row>
    <row r="521" spans="1:20" x14ac:dyDescent="0.25">
      <c r="A521">
        <v>21900406</v>
      </c>
      <c r="B521" t="s">
        <v>10</v>
      </c>
      <c r="C521" t="s">
        <v>61</v>
      </c>
      <c r="D521">
        <v>8</v>
      </c>
      <c r="E521">
        <v>8</v>
      </c>
      <c r="F521">
        <v>0</v>
      </c>
      <c r="G521">
        <v>1</v>
      </c>
      <c r="H521" s="1">
        <v>6.3078703703703708E-3</v>
      </c>
      <c r="I521">
        <v>2019</v>
      </c>
      <c r="J521" t="s">
        <v>59</v>
      </c>
      <c r="K521" s="2" t="str">
        <f>HYPERLINK("https://www.nba.com/stats/events?CFID=&amp;CFPARAMS=&amp;GameEventID=32&amp;GameID=0021900406&amp;Season=2019-20&amp;flag=1&amp;title=P.%20Beverley%2029'%203PT%20%20(5%20PTS)%20(K.%20Leonard%201%20AST)", "P. Beverley 29' 3PT  (5 PTS) (K. Leonard 1 AST)")</f>
        <v>P. Beverley 29' 3PT  (5 PTS) (K. Leonard 1 AST)</v>
      </c>
      <c r="L521" s="2" t="str">
        <f>HYPERLINK("https://www.nba.com/game/...-vs-...-0021900406/play-by-play?watchFullGame=true", "LAC vs PHX - Q1 09:05.00")</f>
        <v>LAC vs PHX - Q1 09:05.00</v>
      </c>
      <c r="M521">
        <v>28.67</v>
      </c>
      <c r="N521">
        <v>33.43</v>
      </c>
      <c r="O521">
        <v>70.760000000000005</v>
      </c>
      <c r="P521">
        <v>-104</v>
      </c>
      <c r="Q521">
        <v>262</v>
      </c>
      <c r="R521">
        <v>33</v>
      </c>
      <c r="S521">
        <v>70</v>
      </c>
      <c r="T521" t="s">
        <v>73</v>
      </c>
    </row>
    <row r="522" spans="1:20" x14ac:dyDescent="0.25">
      <c r="A522">
        <v>42200171</v>
      </c>
      <c r="B522" t="s">
        <v>10</v>
      </c>
      <c r="C522" t="s">
        <v>9</v>
      </c>
      <c r="D522">
        <v>109</v>
      </c>
      <c r="E522">
        <v>103</v>
      </c>
      <c r="F522">
        <v>6</v>
      </c>
      <c r="G522">
        <v>4</v>
      </c>
      <c r="H522" s="1">
        <v>1.0763888888888889E-3</v>
      </c>
      <c r="I522" t="s">
        <v>67</v>
      </c>
      <c r="J522" t="s">
        <v>59</v>
      </c>
      <c r="K522" s="2" t="str">
        <f>HYPERLINK("https://www.nba.com/stats/events?CFID=&amp;CFPARAMS=&amp;GameEventID=643&amp;GameID=0042200171&amp;Season=2022-23&amp;flag=1&amp;title=E.%20Gordon%2026'%203PT%20%20(17%20PTS)%20(K.%20Leonard%205%20AST)", "E. Gordon 26' 3PT  (17 PTS) (K. Leonard 5 AST)")</f>
        <v>E. Gordon 26' 3PT  (17 PTS) (K. Leonard 5 AST)</v>
      </c>
      <c r="L522" s="2" t="str">
        <f>HYPERLINK("https://www.nba.com/game/...-vs-...-0042200171/play-by-play?watchFullGame=true", "LAC vs PHX - Q4 01:33.00")</f>
        <v>LAC vs PHX - Q4 01:33.00</v>
      </c>
      <c r="M522">
        <v>26.71</v>
      </c>
      <c r="N522">
        <v>33.979999999999997</v>
      </c>
      <c r="O522">
        <v>48.77</v>
      </c>
      <c r="P522">
        <v>33</v>
      </c>
      <c r="Q522">
        <v>48</v>
      </c>
      <c r="R522">
        <v>33</v>
      </c>
      <c r="S522">
        <v>48</v>
      </c>
      <c r="T522" t="s">
        <v>73</v>
      </c>
    </row>
    <row r="523" spans="1:20" x14ac:dyDescent="0.25">
      <c r="A523">
        <v>22000009</v>
      </c>
      <c r="B523" t="s">
        <v>10</v>
      </c>
      <c r="C523" t="s">
        <v>9</v>
      </c>
      <c r="D523">
        <v>21</v>
      </c>
      <c r="E523">
        <v>14</v>
      </c>
      <c r="F523">
        <v>7</v>
      </c>
      <c r="G523">
        <v>1</v>
      </c>
      <c r="H523" s="1">
        <v>3.3101851851851851E-3</v>
      </c>
      <c r="I523">
        <v>2020</v>
      </c>
      <c r="J523" t="s">
        <v>59</v>
      </c>
      <c r="K523" s="2" t="str">
        <f>HYPERLINK("https://www.nba.com/stats/events?CFID=&amp;CFPARAMS=&amp;GameEventID=91&amp;GameID=0022000009&amp;Season=2020-21&amp;flag=1&amp;title=Ibaka%2027'%203PT%20step%20back%20(3%20PTS)%20(K.%20Leonard%203%20AST)", "S. Ibaka 27' 3PT step back (3 PTS) (K. Leonard 3 AST)")</f>
        <v>S. Ibaka 27' 3PT step back (3 PTS) (K. Leonard 3 AST)</v>
      </c>
      <c r="L523" s="2" t="str">
        <f>HYPERLINK("https://www.nba.com/game/...-vs-...-0022000009/play-by-play?watchFullGame=true", "LAC vs DEN - Q1 04:46.00")</f>
        <v>LAC vs DEN - Q1 04:46.00</v>
      </c>
      <c r="M523">
        <v>27.32</v>
      </c>
      <c r="N523">
        <v>33.72</v>
      </c>
      <c r="O523">
        <v>36.340000000000003</v>
      </c>
      <c r="P523">
        <v>68</v>
      </c>
      <c r="Q523">
        <v>264</v>
      </c>
      <c r="R523">
        <v>33</v>
      </c>
      <c r="S523">
        <v>36</v>
      </c>
      <c r="T523" t="s">
        <v>73</v>
      </c>
    </row>
    <row r="524" spans="1:20" x14ac:dyDescent="0.25">
      <c r="A524">
        <v>41900152</v>
      </c>
      <c r="B524" t="s">
        <v>10</v>
      </c>
      <c r="C524" t="s">
        <v>61</v>
      </c>
      <c r="D524">
        <v>39</v>
      </c>
      <c r="E524">
        <v>47</v>
      </c>
      <c r="F524">
        <v>8</v>
      </c>
      <c r="G524">
        <v>2</v>
      </c>
      <c r="H524" s="1">
        <v>3.7962962962962963E-3</v>
      </c>
      <c r="I524" t="s">
        <v>68</v>
      </c>
      <c r="J524" t="s">
        <v>59</v>
      </c>
      <c r="K524" s="2" t="str">
        <f>HYPERLINK("https://www.nba.com/stats/events?CFID=&amp;CFPARAMS=&amp;GameEventID=267&amp;GameID=0041900152&amp;Season=2019-20&amp;flag=1&amp;title=R.%20Jackson%2028'%203PT%20%20(6%20PTS)%20(K.%20Leonard%201%20AST)", "R. Jackson 28' 3PT  (6 PTS) (K. Leonard 1 AST)")</f>
        <v>R. Jackson 28' 3PT  (6 PTS) (K. Leonard 1 AST)</v>
      </c>
      <c r="L524" s="2" t="str">
        <f>HYPERLINK("https://www.nba.com/game/...-vs-...-0041900152/play-by-play?watchFullGame=true", "LAC vs DAL - Q2 05:28.00")</f>
        <v>LAC vs DAL - Q2 05:28.00</v>
      </c>
      <c r="M524">
        <v>28.35</v>
      </c>
      <c r="N524">
        <v>33.46</v>
      </c>
      <c r="O524">
        <v>31.2</v>
      </c>
      <c r="P524">
        <v>94</v>
      </c>
      <c r="Q524">
        <v>262</v>
      </c>
      <c r="R524">
        <v>33</v>
      </c>
      <c r="S524">
        <v>31</v>
      </c>
      <c r="T524" t="s">
        <v>73</v>
      </c>
    </row>
    <row r="525" spans="1:20" x14ac:dyDescent="0.25">
      <c r="A525">
        <v>22201069</v>
      </c>
      <c r="B525" t="s">
        <v>10</v>
      </c>
      <c r="C525" t="s">
        <v>9</v>
      </c>
      <c r="D525">
        <v>89</v>
      </c>
      <c r="E525">
        <v>79</v>
      </c>
      <c r="F525">
        <v>10</v>
      </c>
      <c r="G525">
        <v>3</v>
      </c>
      <c r="H525" s="1">
        <v>1.4120370370370369E-3</v>
      </c>
      <c r="I525">
        <v>2022</v>
      </c>
      <c r="J525" t="s">
        <v>59</v>
      </c>
      <c r="K525" s="2" t="str">
        <f>HYPERLINK("https://www.nba.com/stats/events?CFID=&amp;CFPARAMS=&amp;GameEventID=452&amp;GameID=0022201069&amp;Season=2022-23&amp;flag=1&amp;title=E.%20Gordon%2028'%203PT%20pullup%20(16%20PTS)%20(K.%20Leonard%202%20AST)", "E. Gordon 28' 3PT pullup (16 PTS) (K. Leonard 2 AST)")</f>
        <v>E. Gordon 28' 3PT pullup (16 PTS) (K. Leonard 2 AST)</v>
      </c>
      <c r="L525" s="2" t="str">
        <f>HYPERLINK("https://www.nba.com/game/...-vs-...-0022201069/play-by-play?watchFullGame=true", "LAC vs POR - Q3 02:02.00")</f>
        <v>LAC vs POR - Q3 02:02.00</v>
      </c>
      <c r="M525">
        <v>28.09</v>
      </c>
      <c r="N525">
        <v>34.770000000000003</v>
      </c>
      <c r="O525">
        <v>62.01</v>
      </c>
      <c r="P525">
        <v>-60</v>
      </c>
      <c r="Q525">
        <v>274</v>
      </c>
      <c r="R525">
        <v>34</v>
      </c>
      <c r="S525">
        <v>62</v>
      </c>
      <c r="T525" t="s">
        <v>73</v>
      </c>
    </row>
    <row r="526" spans="1:20" x14ac:dyDescent="0.25">
      <c r="A526">
        <v>22300676</v>
      </c>
      <c r="B526" t="s">
        <v>10</v>
      </c>
      <c r="C526" t="s">
        <v>9</v>
      </c>
      <c r="D526">
        <v>69</v>
      </c>
      <c r="E526">
        <v>60</v>
      </c>
      <c r="F526">
        <v>9</v>
      </c>
      <c r="G526">
        <v>3</v>
      </c>
      <c r="H526" s="1">
        <v>8.1597222222222227E-3</v>
      </c>
      <c r="I526">
        <v>2023</v>
      </c>
      <c r="J526" t="s">
        <v>59</v>
      </c>
      <c r="K526" s="2" t="str">
        <f>HYPERLINK("https://www.nba.com/stats/events?CFID=&amp;CFPARAMS=&amp;GameEventID=309&amp;GameID=0022300676&amp;Season=2023-24&amp;flag=1&amp;title=A.%20Coffey%2027'%203PT%20%20(13%20PTS)%20(K.%20Leonard%202%20AST)", "A. Coffey 27' 3PT  (13 PTS) (K. Leonard 2 AST)")</f>
        <v>A. Coffey 27' 3PT  (13 PTS) (K. Leonard 2 AST)</v>
      </c>
      <c r="L526" s="2" t="str">
        <f>HYPERLINK("https://www.nba.com/game/...-vs-...-0022300676/play-by-play?watchFullGame=true", "LAC vs WAS - Q3 11:45.00")</f>
        <v>LAC vs WAS - Q3 11:45.00</v>
      </c>
      <c r="M526">
        <v>27.03</v>
      </c>
      <c r="N526">
        <v>34.25</v>
      </c>
      <c r="O526">
        <v>54.41</v>
      </c>
      <c r="P526">
        <v>-22</v>
      </c>
      <c r="Q526">
        <v>269</v>
      </c>
      <c r="R526">
        <v>34</v>
      </c>
      <c r="S526">
        <v>54</v>
      </c>
      <c r="T526" t="s">
        <v>73</v>
      </c>
    </row>
    <row r="527" spans="1:20" x14ac:dyDescent="0.25">
      <c r="A527">
        <v>42000223</v>
      </c>
      <c r="B527" t="s">
        <v>10</v>
      </c>
      <c r="C527" t="s">
        <v>9</v>
      </c>
      <c r="D527">
        <v>57</v>
      </c>
      <c r="E527">
        <v>41</v>
      </c>
      <c r="F527">
        <v>16</v>
      </c>
      <c r="G527">
        <v>2</v>
      </c>
      <c r="H527" s="1">
        <v>2.0138888888888888E-3</v>
      </c>
      <c r="I527" t="s">
        <v>71</v>
      </c>
      <c r="J527" t="s">
        <v>59</v>
      </c>
      <c r="K527" s="2" t="str">
        <f>HYPERLINK("https://www.nba.com/stats/events?CFID=&amp;CFPARAMS=&amp;GameEventID=246&amp;GameID=0042000223&amp;Season=2020-21&amp;flag=1&amp;title=P.%20George%2032'%203PT%20%20(20%20PTS)%20(K.%20Leonard%202%20AST)", "P. George 32' 3PT  (20 PTS) (K. Leonard 2 AST)")</f>
        <v>P. George 32' 3PT  (20 PTS) (K. Leonard 2 AST)</v>
      </c>
      <c r="L527" s="2" t="str">
        <f>HYPERLINK("https://www.nba.com/game/...-vs-...-0042000223/play-by-play?watchFullGame=true", "LAC vs UTA - Q2 02:54.00")</f>
        <v>LAC vs UTA - Q2 02:54.00</v>
      </c>
      <c r="M527">
        <v>32.14</v>
      </c>
      <c r="N527">
        <v>34.479999999999997</v>
      </c>
      <c r="O527">
        <v>15.62</v>
      </c>
      <c r="P527">
        <v>34</v>
      </c>
      <c r="Q527">
        <v>15</v>
      </c>
      <c r="R527">
        <v>34</v>
      </c>
      <c r="S527">
        <v>15</v>
      </c>
      <c r="T527" t="s">
        <v>73</v>
      </c>
    </row>
    <row r="528" spans="1:20" x14ac:dyDescent="0.25">
      <c r="A528">
        <v>22300074</v>
      </c>
      <c r="B528" t="s">
        <v>10</v>
      </c>
      <c r="C528" t="s">
        <v>9</v>
      </c>
      <c r="D528">
        <v>82</v>
      </c>
      <c r="E528">
        <v>63</v>
      </c>
      <c r="F528">
        <v>19</v>
      </c>
      <c r="G528">
        <v>3</v>
      </c>
      <c r="H528" s="1">
        <v>5.1967592592592595E-3</v>
      </c>
      <c r="I528">
        <v>2023</v>
      </c>
      <c r="J528" t="s">
        <v>59</v>
      </c>
      <c r="K528" s="2" t="str">
        <f>HYPERLINK("https://www.nba.com/stats/events?CFID=&amp;CFPARAMS=&amp;GameEventID=408&amp;GameID=0022300074&amp;Season=2023-24&amp;flag=1&amp;title=P.%20George%2028'%203PT%20%20(20%20PTS)%20(K.%20Leonard%205%20AST)", "P. George 28' 3PT  (20 PTS) (K. Leonard 5 AST)")</f>
        <v>P. George 28' 3PT  (20 PTS) (K. Leonard 5 AST)</v>
      </c>
      <c r="L528" s="2" t="str">
        <f>HYPERLINK("https://www.nba.com/game/...-vs-...-0022300074/play-by-play?watchFullGame=true", "LAC vs POR - Q3 07:29.00")</f>
        <v>LAC vs POR - Q3 07:29.00</v>
      </c>
      <c r="M528">
        <v>28.16</v>
      </c>
      <c r="N528">
        <v>34.61</v>
      </c>
      <c r="O528">
        <v>36.03</v>
      </c>
      <c r="P528">
        <v>70</v>
      </c>
      <c r="Q528">
        <v>273</v>
      </c>
      <c r="R528">
        <v>34</v>
      </c>
      <c r="S528">
        <v>36</v>
      </c>
      <c r="T528" t="s">
        <v>73</v>
      </c>
    </row>
    <row r="529" spans="1:20" x14ac:dyDescent="0.25">
      <c r="A529">
        <v>22201112</v>
      </c>
      <c r="B529" t="s">
        <v>10</v>
      </c>
      <c r="C529" t="s">
        <v>9</v>
      </c>
      <c r="D529">
        <v>7</v>
      </c>
      <c r="E529">
        <v>13</v>
      </c>
      <c r="F529">
        <v>6</v>
      </c>
      <c r="G529">
        <v>1</v>
      </c>
      <c r="H529" s="1">
        <v>5.6134259259259262E-3</v>
      </c>
      <c r="I529">
        <v>2022</v>
      </c>
      <c r="J529" t="s">
        <v>59</v>
      </c>
      <c r="K529" s="2" t="str">
        <f>HYPERLINK("https://www.nba.com/stats/events?CFID=&amp;CFPARAMS=&amp;GameEventID=45&amp;GameID=0022201112&amp;Season=2022-23&amp;flag=1&amp;title=E.%20Gordon%2029'%203PT%20%20(3%20PTS)%20(K.%20Leonard%201%20AST)", "E. Gordon 29' 3PT  (3 PTS) (K. Leonard 1 AST)")</f>
        <v>E. Gordon 29' 3PT  (3 PTS) (K. Leonard 1 AST)</v>
      </c>
      <c r="L529" s="2" t="str">
        <f>HYPERLINK("https://www.nba.com/game/...-vs-...-0022201112/play-by-play?watchFullGame=true", "LAC vs NOP - Q1 08:05.00")</f>
        <v>LAC vs NOP - Q1 08:05.00</v>
      </c>
      <c r="M529">
        <v>29.12</v>
      </c>
      <c r="N529">
        <v>35.659999999999997</v>
      </c>
      <c r="O529">
        <v>63.97</v>
      </c>
      <c r="P529">
        <v>-70</v>
      </c>
      <c r="Q529">
        <v>283</v>
      </c>
      <c r="R529">
        <v>35</v>
      </c>
      <c r="S529">
        <v>63</v>
      </c>
      <c r="T529" t="s">
        <v>73</v>
      </c>
    </row>
    <row r="530" spans="1:20" x14ac:dyDescent="0.25">
      <c r="A530">
        <v>22300526</v>
      </c>
      <c r="B530" t="s">
        <v>10</v>
      </c>
      <c r="C530" t="s">
        <v>9</v>
      </c>
      <c r="D530">
        <v>44</v>
      </c>
      <c r="E530">
        <v>42</v>
      </c>
      <c r="F530">
        <v>2</v>
      </c>
      <c r="G530">
        <v>2</v>
      </c>
      <c r="H530" s="1">
        <v>4.0162037037037041E-3</v>
      </c>
      <c r="I530">
        <v>2023</v>
      </c>
      <c r="J530" t="s">
        <v>59</v>
      </c>
      <c r="K530" s="2" t="str">
        <f>HYPERLINK("https://www.nba.com/stats/events?CFID=&amp;CFPARAMS=&amp;GameEventID=225&amp;GameID=0022300526&amp;Season=2023-24&amp;flag=1&amp;title=J.%20Harden%2028'%203PT%20pullup%20(8%20PTS)%20(K.%20Leonard%202%20AST)", "J. Harden 28' 3PT pullup (8 PTS) (K. Leonard 2 AST)")</f>
        <v>J. Harden 28' 3PT pullup (8 PTS) (K. Leonard 2 AST)</v>
      </c>
      <c r="L530" s="2" t="str">
        <f>HYPERLINK("https://www.nba.com/game/...-vs-...-0022300526/play-by-play?watchFullGame=true", "LAC vs TOR - Q2 05:47.00")</f>
        <v>LAC vs TOR - Q2 05:47.00</v>
      </c>
      <c r="M530">
        <v>28.45</v>
      </c>
      <c r="N530">
        <v>35.130000000000003</v>
      </c>
      <c r="O530">
        <v>62.25</v>
      </c>
      <c r="P530">
        <v>-61</v>
      </c>
      <c r="Q530">
        <v>278</v>
      </c>
      <c r="R530">
        <v>35</v>
      </c>
      <c r="S530">
        <v>62</v>
      </c>
      <c r="T530" t="s">
        <v>73</v>
      </c>
    </row>
    <row r="531" spans="1:20" x14ac:dyDescent="0.25">
      <c r="A531">
        <v>22201215</v>
      </c>
      <c r="B531" t="s">
        <v>10</v>
      </c>
      <c r="C531" t="s">
        <v>9</v>
      </c>
      <c r="D531">
        <v>91</v>
      </c>
      <c r="E531">
        <v>85</v>
      </c>
      <c r="F531">
        <v>6</v>
      </c>
      <c r="G531">
        <v>3</v>
      </c>
      <c r="H531" s="1">
        <v>3.9004629629629628E-3</v>
      </c>
      <c r="I531">
        <v>2022</v>
      </c>
      <c r="J531" t="s">
        <v>59</v>
      </c>
      <c r="K531" s="2" t="str">
        <f>HYPERLINK("https://www.nba.com/stats/events?CFID=&amp;CFPARAMS=&amp;GameEventID=430&amp;GameID=0022201215&amp;Season=2022-23&amp;flag=1&amp;title=E.%20Gordon%2030'%203PT%20running%20(5%20PTS)%20(K.%20Leonard%204%20AST)", "E. Gordon 30' 3PT running (5 PTS) (K. Leonard 4 AST)")</f>
        <v>E. Gordon 30' 3PT running (5 PTS) (K. Leonard 4 AST)</v>
      </c>
      <c r="L531" s="2" t="str">
        <f>HYPERLINK("https://www.nba.com/game/...-vs-...-0022201215/play-by-play?watchFullGame=true", "LAC vs POR - Q3 05:37.00")</f>
        <v>LAC vs POR - Q3 05:37.00</v>
      </c>
      <c r="M531">
        <v>30.08</v>
      </c>
      <c r="N531">
        <v>36.19</v>
      </c>
      <c r="O531">
        <v>67.650000000000006</v>
      </c>
      <c r="P531">
        <v>-88</v>
      </c>
      <c r="Q531">
        <v>288</v>
      </c>
      <c r="R531">
        <v>36</v>
      </c>
      <c r="S531">
        <v>67</v>
      </c>
      <c r="T531" t="s">
        <v>73</v>
      </c>
    </row>
    <row r="532" spans="1:20" x14ac:dyDescent="0.25">
      <c r="A532">
        <v>22001047</v>
      </c>
      <c r="B532" t="s">
        <v>10</v>
      </c>
      <c r="C532" t="s">
        <v>9</v>
      </c>
      <c r="D532">
        <v>31</v>
      </c>
      <c r="E532">
        <v>23</v>
      </c>
      <c r="F532">
        <v>8</v>
      </c>
      <c r="G532">
        <v>1</v>
      </c>
      <c r="H532" s="1">
        <v>3.1018518518518521E-4</v>
      </c>
      <c r="I532">
        <v>2020</v>
      </c>
      <c r="J532" t="s">
        <v>59</v>
      </c>
      <c r="K532" s="2" t="str">
        <f>HYPERLINK("https://www.nba.com/stats/events?CFID=&amp;CFPARAMS=&amp;GameEventID=132&amp;GameID=0022001047&amp;Season=2020-21&amp;flag=1&amp;title=R.%20Jackson%2029'%203PT%20%20(6%20PTS)%20(K.%20Leonard%204%20AST)", "R. Jackson 29' 3PT  (6 PTS) (K. Leonard 4 AST)")</f>
        <v>R. Jackson 29' 3PT  (6 PTS) (K. Leonard 4 AST)</v>
      </c>
      <c r="L532" s="2" t="str">
        <f>HYPERLINK("https://www.nba.com/game/...-vs-...-0022001047/play-by-play?watchFullGame=true", "LAC vs CHA - Q1 00:26.80")</f>
        <v>LAC vs CHA - Q1 00:26.80</v>
      </c>
      <c r="M532">
        <v>29.36</v>
      </c>
      <c r="N532">
        <v>36.22</v>
      </c>
      <c r="O532">
        <v>38.549999999999997</v>
      </c>
      <c r="P532">
        <v>57</v>
      </c>
      <c r="Q532">
        <v>288</v>
      </c>
      <c r="R532">
        <v>36</v>
      </c>
      <c r="S532">
        <v>38</v>
      </c>
      <c r="T532" t="s">
        <v>73</v>
      </c>
    </row>
    <row r="533" spans="1:20" x14ac:dyDescent="0.25">
      <c r="A533">
        <v>22201196</v>
      </c>
      <c r="B533" t="s">
        <v>10</v>
      </c>
      <c r="C533" t="s">
        <v>9</v>
      </c>
      <c r="D533">
        <v>103</v>
      </c>
      <c r="E533">
        <v>86</v>
      </c>
      <c r="F533">
        <v>17</v>
      </c>
      <c r="G533">
        <v>4</v>
      </c>
      <c r="H533" s="1">
        <v>6.6087962962962966E-3</v>
      </c>
      <c r="I533">
        <v>2022</v>
      </c>
      <c r="J533" t="s">
        <v>59</v>
      </c>
      <c r="K533" s="2" t="str">
        <f>HYPERLINK("https://www.nba.com/stats/events?CFID=&amp;CFPARAMS=&amp;GameEventID=485&amp;GameID=0022201196&amp;Season=2022-23&amp;flag=1&amp;title=B.%20Hyland%2030'%203PT%20%20(6%20PTS)%20(K.%20Leonard%204%20AST)", "B. Hyland 30' 3PT  (6 PTS) (K. Leonard 4 AST)")</f>
        <v>B. Hyland 30' 3PT  (6 PTS) (K. Leonard 4 AST)</v>
      </c>
      <c r="L533" s="2" t="str">
        <f>HYPERLINK("https://www.nba.com/game/...-vs-...-0022201196/play-by-play?watchFullGame=true", "LAC vs LAL - Q4 09:31.00")</f>
        <v>LAC vs LAL - Q4 09:31.00</v>
      </c>
      <c r="M533">
        <v>30.35</v>
      </c>
      <c r="N533">
        <v>36.32</v>
      </c>
      <c r="O533">
        <v>68.63</v>
      </c>
      <c r="P533">
        <v>-93</v>
      </c>
      <c r="Q533">
        <v>289</v>
      </c>
      <c r="R533">
        <v>36</v>
      </c>
      <c r="S533">
        <v>68</v>
      </c>
      <c r="T533" t="s">
        <v>73</v>
      </c>
    </row>
    <row r="534" spans="1:20" x14ac:dyDescent="0.25">
      <c r="A534">
        <v>22000701</v>
      </c>
      <c r="B534" t="s">
        <v>10</v>
      </c>
      <c r="C534" t="s">
        <v>9</v>
      </c>
      <c r="D534">
        <v>75</v>
      </c>
      <c r="E534">
        <v>64</v>
      </c>
      <c r="F534">
        <v>11</v>
      </c>
      <c r="G534">
        <v>3</v>
      </c>
      <c r="H534" s="1">
        <v>5.8449074074074072E-3</v>
      </c>
      <c r="I534">
        <v>2020</v>
      </c>
      <c r="J534" t="s">
        <v>59</v>
      </c>
      <c r="K534" s="2" t="str">
        <f>HYPERLINK("https://www.nba.com/stats/events?CFID=&amp;CFPARAMS=&amp;GameEventID=352&amp;GameID=0022000701&amp;Season=2020-21&amp;flag=1&amp;title=P.%20George%2029'%203PT%20%20(15%20PTS)%20(K.%20Leonard%204%20AST)", "P. George 29' 3PT  (15 PTS) (K. Leonard 4 AST)")</f>
        <v>P. George 29' 3PT  (15 PTS) (K. Leonard 4 AST)</v>
      </c>
      <c r="L534" s="2" t="str">
        <f>HYPERLINK("https://www.nba.com/game/...-vs-...-0022000701/play-by-play?watchFullGame=true", "LAC vs PHI - Q3 08:25.00")</f>
        <v>LAC vs PHI - Q3 08:25.00</v>
      </c>
      <c r="M534">
        <v>29.04</v>
      </c>
      <c r="N534">
        <v>63.52</v>
      </c>
      <c r="O534">
        <v>50.91</v>
      </c>
      <c r="P534">
        <v>5</v>
      </c>
      <c r="Q534">
        <v>290</v>
      </c>
      <c r="R534">
        <v>63</v>
      </c>
      <c r="S534">
        <v>50</v>
      </c>
      <c r="T534" t="s">
        <v>58</v>
      </c>
    </row>
    <row r="535" spans="1:20" x14ac:dyDescent="0.25">
      <c r="A535">
        <v>22200885</v>
      </c>
      <c r="B535" t="s">
        <v>10</v>
      </c>
      <c r="C535" t="s">
        <v>9</v>
      </c>
      <c r="D535">
        <v>15</v>
      </c>
      <c r="E535">
        <v>5</v>
      </c>
      <c r="F535">
        <v>10</v>
      </c>
      <c r="G535">
        <v>1</v>
      </c>
      <c r="H535" s="1">
        <v>4.386574074074074E-3</v>
      </c>
      <c r="I535">
        <v>2022</v>
      </c>
      <c r="J535" t="s">
        <v>59</v>
      </c>
      <c r="K535" s="2" t="str">
        <f>HYPERLINK("https://www.nba.com/stats/events?CFID=&amp;CFPARAMS=&amp;GameEventID=66&amp;GameID=0022200885&amp;Season=2022-23&amp;flag=1&amp;title=P.%20George%2028'%203PT%20%20(5%20PTS)%20(K.%20Leonard%201%20AST)", "P. George 28' 3PT  (5 PTS) (K. Leonard 1 AST)")</f>
        <v>P. George 28' 3PT  (5 PTS) (K. Leonard 1 AST)</v>
      </c>
      <c r="L535" s="2" t="str">
        <f>HYPERLINK("https://www.nba.com/game/...-vs-...-0022200885/play-by-play?watchFullGame=true", "LAC vs PHX - Q1 06:19.00")</f>
        <v>LAC vs PHX - Q1 06:19.00</v>
      </c>
      <c r="M535">
        <v>28.03</v>
      </c>
      <c r="N535">
        <v>64.599999999999994</v>
      </c>
      <c r="O535">
        <v>51.23</v>
      </c>
      <c r="P535">
        <v>6</v>
      </c>
      <c r="Q535">
        <v>280</v>
      </c>
      <c r="R535">
        <v>64</v>
      </c>
      <c r="S535">
        <v>51</v>
      </c>
      <c r="T535" t="s">
        <v>58</v>
      </c>
    </row>
    <row r="536" spans="1:20" x14ac:dyDescent="0.25">
      <c r="A536">
        <v>22000717</v>
      </c>
      <c r="B536" t="s">
        <v>10</v>
      </c>
      <c r="C536" t="s">
        <v>9</v>
      </c>
      <c r="D536">
        <v>96</v>
      </c>
      <c r="E536">
        <v>86</v>
      </c>
      <c r="F536">
        <v>10</v>
      </c>
      <c r="G536">
        <v>3</v>
      </c>
      <c r="H536" s="1">
        <v>1.2731481481481482E-5</v>
      </c>
      <c r="I536">
        <v>2020</v>
      </c>
      <c r="J536" t="s">
        <v>59</v>
      </c>
      <c r="K536" s="2" t="str">
        <f>HYPERLINK("https://www.nba.com/stats/events?CFID=&amp;CFPARAMS=&amp;GameEventID=446&amp;GameID=0022000717&amp;Season=2020-21&amp;flag=1&amp;title=P.%20Patterson%2027'%203PT%20%20(6%20PTS)%20(K.%20Leonard%207%20AST)", "P. Patterson 27' 3PT  (6 PTS) (K. Leonard 7 AST)")</f>
        <v>P. Patterson 27' 3PT  (6 PTS) (K. Leonard 7 AST)</v>
      </c>
      <c r="L536" s="2" t="str">
        <f>HYPERLINK("https://www.nba.com/game/...-vs-...-0022000717/play-by-play?watchFullGame=true", "LAC vs MIL - Q3 00:01.10")</f>
        <v>LAC vs MIL - Q3 00:01.10</v>
      </c>
      <c r="M536">
        <v>27.44</v>
      </c>
      <c r="N536">
        <v>65.260000000000005</v>
      </c>
      <c r="O536">
        <v>52.77</v>
      </c>
      <c r="P536">
        <v>14</v>
      </c>
      <c r="Q536">
        <v>274</v>
      </c>
      <c r="R536">
        <v>65</v>
      </c>
      <c r="S536">
        <v>52</v>
      </c>
      <c r="T536" t="s">
        <v>58</v>
      </c>
    </row>
    <row r="537" spans="1:20" x14ac:dyDescent="0.25">
      <c r="A537">
        <v>22000350</v>
      </c>
      <c r="B537" t="s">
        <v>10</v>
      </c>
      <c r="C537" t="s">
        <v>9</v>
      </c>
      <c r="D537">
        <v>82</v>
      </c>
      <c r="E537">
        <v>89</v>
      </c>
      <c r="F537">
        <v>7</v>
      </c>
      <c r="G537">
        <v>3</v>
      </c>
      <c r="H537" s="1">
        <v>3.2870370370370367E-4</v>
      </c>
      <c r="I537">
        <v>2020</v>
      </c>
      <c r="J537" t="s">
        <v>59</v>
      </c>
      <c r="K537" s="2" t="str">
        <f>HYPERLINK("https://www.nba.com/stats/events?CFID=&amp;CFPARAMS=&amp;GameEventID=448&amp;GameID=0022000350&amp;Season=2020-21&amp;flag=1&amp;title=N.%20Batum%2028'%203PT%20%20(16%20PTS)%20(K.%20Leonard%203%20AST)", "N. Batum 28' 3PT  (16 PTS) (K. Leonard 3 AST)")</f>
        <v>N. Batum 28' 3PT  (16 PTS) (K. Leonard 3 AST)</v>
      </c>
      <c r="L537" s="2" t="str">
        <f>HYPERLINK("https://www.nba.com/game/...-vs-...-0022000350/play-by-play?watchFullGame=true", "LAC vs BOS - Q3 00:28.40")</f>
        <v>LAC vs BOS - Q3 00:28.40</v>
      </c>
      <c r="M537">
        <v>28.05</v>
      </c>
      <c r="N537">
        <v>65.92</v>
      </c>
      <c r="O537">
        <v>33.4</v>
      </c>
      <c r="P537">
        <v>-83</v>
      </c>
      <c r="Q537">
        <v>268</v>
      </c>
      <c r="R537">
        <v>65</v>
      </c>
      <c r="S537">
        <v>33</v>
      </c>
      <c r="T537" t="s">
        <v>58</v>
      </c>
    </row>
    <row r="538" spans="1:20" x14ac:dyDescent="0.25">
      <c r="A538">
        <v>22300646</v>
      </c>
      <c r="B538" t="s">
        <v>10</v>
      </c>
      <c r="C538" t="s">
        <v>9</v>
      </c>
      <c r="D538">
        <v>50</v>
      </c>
      <c r="E538">
        <v>37</v>
      </c>
      <c r="F538">
        <v>13</v>
      </c>
      <c r="G538">
        <v>2</v>
      </c>
      <c r="H538" s="1">
        <v>1.6666666666666668E-3</v>
      </c>
      <c r="I538">
        <v>2023</v>
      </c>
      <c r="J538" t="s">
        <v>59</v>
      </c>
      <c r="K538" s="2" t="str">
        <f>HYPERLINK("https://www.nba.com/stats/events?CFID=&amp;CFPARAMS=&amp;GameEventID=293&amp;GameID=0022300646&amp;Season=2023-24&amp;flag=1&amp;title=T.%20Mann%2026'%203PT%20%20(10%20PTS)%20(K.%20Leonard%201%20AST)", "T. Mann 26' 3PT  (10 PTS) (K. Leonard 1 AST)")</f>
        <v>T. Mann 26' 3PT  (10 PTS) (K. Leonard 1 AST)</v>
      </c>
      <c r="L538" s="2" t="str">
        <f>HYPERLINK("https://www.nba.com/game/...-vs-...-0022300646/play-by-play?watchFullGame=true", "LAC vs BOS - Q2 02:24.00")</f>
        <v>LAC vs BOS - Q2 02:24.00</v>
      </c>
      <c r="M538">
        <v>26.97</v>
      </c>
      <c r="N538">
        <v>65.790000000000006</v>
      </c>
      <c r="O538">
        <v>53.68</v>
      </c>
      <c r="P538">
        <v>18</v>
      </c>
      <c r="Q538">
        <v>269</v>
      </c>
      <c r="R538">
        <v>65</v>
      </c>
      <c r="S538">
        <v>53</v>
      </c>
      <c r="T538" t="s">
        <v>58</v>
      </c>
    </row>
    <row r="539" spans="1:20" x14ac:dyDescent="0.25">
      <c r="A539">
        <v>22300600</v>
      </c>
      <c r="B539" t="s">
        <v>10</v>
      </c>
      <c r="C539" t="s">
        <v>9</v>
      </c>
      <c r="D539">
        <v>67</v>
      </c>
      <c r="E539">
        <v>75</v>
      </c>
      <c r="F539">
        <v>8</v>
      </c>
      <c r="G539">
        <v>3</v>
      </c>
      <c r="H539" s="1">
        <v>4.363425925925926E-3</v>
      </c>
      <c r="I539">
        <v>2023</v>
      </c>
      <c r="J539" t="s">
        <v>59</v>
      </c>
      <c r="K539" s="2" t="str">
        <f>HYPERLINK("https://www.nba.com/stats/events?CFID=&amp;CFPARAMS=&amp;GameEventID=371&amp;GameID=0022300600&amp;Season=2023-24&amp;flag=1&amp;title=J.%20Harden%2027'%203PT%20%20(16%20PTS)%20(K.%20Leonard%203%20AST)", "J. Harden 27' 3PT  (16 PTS) (K. Leonard 3 AST)")</f>
        <v>J. Harden 27' 3PT  (16 PTS) (K. Leonard 3 AST)</v>
      </c>
      <c r="L539" s="2" t="str">
        <f>HYPERLINK("https://www.nba.com/game/...-vs-...-0022300600/play-by-play?watchFullGame=true", "LAC vs BKN - Q3 06:17.00")</f>
        <v>LAC vs BKN - Q3 06:17.00</v>
      </c>
      <c r="M539">
        <v>27.32</v>
      </c>
      <c r="N539">
        <v>65.36</v>
      </c>
      <c r="O539">
        <v>51.72</v>
      </c>
      <c r="P539">
        <v>9</v>
      </c>
      <c r="Q539">
        <v>273</v>
      </c>
      <c r="R539">
        <v>65</v>
      </c>
      <c r="S539">
        <v>51</v>
      </c>
      <c r="T539" t="s">
        <v>58</v>
      </c>
    </row>
    <row r="540" spans="1:20" x14ac:dyDescent="0.25">
      <c r="A540">
        <v>42200172</v>
      </c>
      <c r="B540" t="s">
        <v>10</v>
      </c>
      <c r="C540" t="s">
        <v>9</v>
      </c>
      <c r="D540">
        <v>8</v>
      </c>
      <c r="E540">
        <v>5</v>
      </c>
      <c r="F540">
        <v>3</v>
      </c>
      <c r="G540">
        <v>1</v>
      </c>
      <c r="H540" s="1">
        <v>6.8865740740740745E-3</v>
      </c>
      <c r="I540" t="s">
        <v>67</v>
      </c>
      <c r="J540" t="s">
        <v>59</v>
      </c>
      <c r="K540" s="2" t="str">
        <f>HYPERLINK("https://www.nba.com/stats/events?CFID=&amp;CFPARAMS=&amp;GameEventID=29&amp;GameID=0042200172&amp;Season=2022-23&amp;flag=1&amp;title=E.%20Gordon%2029'%203PT%20%20(3%20PTS)%20(K.%20Leonard%202%20AST)", "E. Gordon 29' 3PT  (3 PTS) (K. Leonard 2 AST)")</f>
        <v>E. Gordon 29' 3PT  (3 PTS) (K. Leonard 2 AST)</v>
      </c>
      <c r="L540" s="2" t="str">
        <f>HYPERLINK("https://www.nba.com/game/...-vs-...-0042200172/play-by-play?watchFullGame=true", "LAC vs PHX - Q1 09:55.00")</f>
        <v>LAC vs PHX - Q1 09:55.00</v>
      </c>
      <c r="M540">
        <v>29.13</v>
      </c>
      <c r="N540">
        <v>65.52</v>
      </c>
      <c r="O540">
        <v>71.08</v>
      </c>
      <c r="P540">
        <v>65</v>
      </c>
      <c r="Q540">
        <v>71</v>
      </c>
      <c r="R540">
        <v>65</v>
      </c>
      <c r="S540">
        <v>71</v>
      </c>
      <c r="T540" t="s">
        <v>58</v>
      </c>
    </row>
    <row r="541" spans="1:20" x14ac:dyDescent="0.25">
      <c r="A541">
        <v>21900618</v>
      </c>
      <c r="B541" t="s">
        <v>10</v>
      </c>
      <c r="C541" t="s">
        <v>61</v>
      </c>
      <c r="D541">
        <v>62</v>
      </c>
      <c r="E541">
        <v>41</v>
      </c>
      <c r="F541">
        <v>21</v>
      </c>
      <c r="G541">
        <v>2</v>
      </c>
      <c r="H541" s="1">
        <v>2.2916666666666667E-3</v>
      </c>
      <c r="I541">
        <v>2019</v>
      </c>
      <c r="J541" t="s">
        <v>59</v>
      </c>
      <c r="K541" s="2" t="str">
        <f>HYPERLINK("https://www.nba.com/stats/events?CFID=&amp;CFPARAMS=&amp;GameEventID=266&amp;GameID=0021900618&amp;Season=2019-20&amp;flag=1&amp;title=L.%20Shamet%2027'%203PT%20%20(11%20PTS)%20(K.%20Leonard%202%20AST)", "L. Shamet 27' 3PT  (11 PTS) (K. Leonard 2 AST)")</f>
        <v>L. Shamet 27' 3PT  (11 PTS) (K. Leonard 2 AST)</v>
      </c>
      <c r="L541" s="2" t="str">
        <f>HYPERLINK("https://www.nba.com/game/...-vs-...-0021900618/play-by-play?watchFullGame=true", "LAC vs ORL - Q2 03:18.00")</f>
        <v>LAC vs ORL - Q2 03:18.00</v>
      </c>
      <c r="M541">
        <v>26.92</v>
      </c>
      <c r="N541">
        <v>66.41</v>
      </c>
      <c r="O541">
        <v>52.87</v>
      </c>
      <c r="P541">
        <v>14</v>
      </c>
      <c r="Q541">
        <v>263</v>
      </c>
      <c r="R541">
        <v>66</v>
      </c>
      <c r="S541">
        <v>52</v>
      </c>
      <c r="T541" t="s">
        <v>58</v>
      </c>
    </row>
    <row r="542" spans="1:20" x14ac:dyDescent="0.25">
      <c r="A542">
        <v>21900485</v>
      </c>
      <c r="B542" t="s">
        <v>10</v>
      </c>
      <c r="C542" t="s">
        <v>61</v>
      </c>
      <c r="D542">
        <v>75</v>
      </c>
      <c r="E542">
        <v>79</v>
      </c>
      <c r="F542">
        <v>4</v>
      </c>
      <c r="G542">
        <v>3</v>
      </c>
      <c r="H542" s="1">
        <v>3.8773148148148148E-3</v>
      </c>
      <c r="I542">
        <v>2019</v>
      </c>
      <c r="J542" t="s">
        <v>59</v>
      </c>
      <c r="K542" s="2" t="str">
        <f>HYPERLINK("https://www.nba.com/stats/events?CFID=&amp;CFPARAMS=&amp;GameEventID=399&amp;GameID=0021900485&amp;Season=2019-20&amp;flag=1&amp;title=L.%20Shamet%2027'%203PT%20%20(10%20PTS)%20(K.%20Leonard%205%20AST)", "L. Shamet 27' 3PT  (10 PTS) (K. Leonard 5 AST)")</f>
        <v>L. Shamet 27' 3PT  (10 PTS) (K. Leonard 5 AST)</v>
      </c>
      <c r="L542" s="2" t="str">
        <f>HYPERLINK("https://www.nba.com/game/...-vs-...-0021900485/play-by-play?watchFullGame=true", "LAC vs UTA - Q3 05:35.00")</f>
        <v>LAC vs UTA - Q3 05:35.00</v>
      </c>
      <c r="M542">
        <v>26.84</v>
      </c>
      <c r="N542">
        <v>66.67</v>
      </c>
      <c r="O542">
        <v>43.31</v>
      </c>
      <c r="P542">
        <v>-33</v>
      </c>
      <c r="Q542">
        <v>261</v>
      </c>
      <c r="R542">
        <v>66</v>
      </c>
      <c r="S542">
        <v>43</v>
      </c>
      <c r="T542" t="s">
        <v>58</v>
      </c>
    </row>
    <row r="543" spans="1:20" x14ac:dyDescent="0.25">
      <c r="A543">
        <v>22000989</v>
      </c>
      <c r="B543" t="s">
        <v>10</v>
      </c>
      <c r="C543" t="s">
        <v>9</v>
      </c>
      <c r="D543">
        <v>39</v>
      </c>
      <c r="E543">
        <v>41</v>
      </c>
      <c r="F543">
        <v>2</v>
      </c>
      <c r="G543">
        <v>2</v>
      </c>
      <c r="H543" s="1">
        <v>4.5949074074074078E-3</v>
      </c>
      <c r="I543">
        <v>2020</v>
      </c>
      <c r="J543" t="s">
        <v>59</v>
      </c>
      <c r="K543" s="2" t="str">
        <f>HYPERLINK("https://www.nba.com/stats/events?CFID=&amp;CFPARAMS=&amp;GameEventID=194&amp;GameID=0022000989&amp;Season=2020-21&amp;flag=1&amp;title=R.%20Jackson%2026'%203PT%20%20(6%20PTS)%20(K.%20Leonard%202%20AST)", "R. Jackson 26' 3PT  (6 PTS) (K. Leonard 2 AST)")</f>
        <v>R. Jackson 26' 3PT  (6 PTS) (K. Leonard 2 AST)</v>
      </c>
      <c r="L543" s="2" t="str">
        <f>HYPERLINK("https://www.nba.com/game/...-vs-...-0022000989/play-by-play?watchFullGame=true", "LAC vs TOR - Q2 06:37.00")</f>
        <v>LAC vs TOR - Q2 06:37.00</v>
      </c>
      <c r="M543">
        <v>26.63</v>
      </c>
      <c r="N543">
        <v>66.84</v>
      </c>
      <c r="O543">
        <v>37.81</v>
      </c>
      <c r="P543">
        <v>-61</v>
      </c>
      <c r="Q543">
        <v>259</v>
      </c>
      <c r="R543">
        <v>66</v>
      </c>
      <c r="S543">
        <v>37</v>
      </c>
      <c r="T543" t="s">
        <v>58</v>
      </c>
    </row>
    <row r="544" spans="1:20" x14ac:dyDescent="0.25">
      <c r="A544">
        <v>21900523</v>
      </c>
      <c r="B544" t="s">
        <v>10</v>
      </c>
      <c r="C544" t="s">
        <v>61</v>
      </c>
      <c r="D544">
        <v>60</v>
      </c>
      <c r="E544">
        <v>72</v>
      </c>
      <c r="F544">
        <v>12</v>
      </c>
      <c r="G544">
        <v>3</v>
      </c>
      <c r="H544" s="1">
        <v>7.2337962962962963E-3</v>
      </c>
      <c r="I544">
        <v>2019</v>
      </c>
      <c r="J544" t="s">
        <v>59</v>
      </c>
      <c r="K544" s="2" t="str">
        <f>HYPERLINK("https://www.nba.com/stats/events?CFID=&amp;CFPARAMS=&amp;GameEventID=371&amp;GameID=0021900523&amp;Season=2019-20&amp;flag=1&amp;title=D.%20Walton%20Jr.%2026'%203PT%20%20(3%20PTS)%20(K.%20Leonard%202%20AST)", "D. Walton Jr. 26' 3PT  (3 PTS) (K. Leonard 2 AST)")</f>
        <v>D. Walton Jr. 26' 3PT  (3 PTS) (K. Leonard 2 AST)</v>
      </c>
      <c r="L544" s="2" t="str">
        <f>HYPERLINK("https://www.nba.com/game/...-vs-...-0021900523/play-by-play?watchFullGame=true", "LAC vs MEM - Q3 10:25.00")</f>
        <v>LAC vs MEM - Q3 10:25.00</v>
      </c>
      <c r="M544">
        <v>26.38</v>
      </c>
      <c r="N544">
        <v>66.930000000000007</v>
      </c>
      <c r="O544">
        <v>50.67</v>
      </c>
      <c r="P544">
        <v>3</v>
      </c>
      <c r="Q544">
        <v>258</v>
      </c>
      <c r="R544">
        <v>66</v>
      </c>
      <c r="S544">
        <v>50</v>
      </c>
      <c r="T544" t="s">
        <v>58</v>
      </c>
    </row>
    <row r="545" spans="1:20" x14ac:dyDescent="0.25">
      <c r="A545">
        <v>22000605</v>
      </c>
      <c r="B545" t="s">
        <v>10</v>
      </c>
      <c r="C545" t="s">
        <v>9</v>
      </c>
      <c r="D545">
        <v>29</v>
      </c>
      <c r="E545">
        <v>15</v>
      </c>
      <c r="F545">
        <v>14</v>
      </c>
      <c r="G545">
        <v>1</v>
      </c>
      <c r="H545" s="1">
        <v>1.261574074074074E-3</v>
      </c>
      <c r="I545">
        <v>2020</v>
      </c>
      <c r="J545" t="s">
        <v>59</v>
      </c>
      <c r="K545" s="2" t="str">
        <f>HYPERLINK("https://www.nba.com/stats/events?CFID=&amp;CFPARAMS=&amp;GameEventID=114&amp;GameID=0022000605&amp;Season=2020-21&amp;flag=1&amp;title=N.%20Batum%2026'%203PT%20%20(3%20PTS)%20(K.%20Leonard%202%20AST)", "N. Batum 26' 3PT  (3 PTS) (K. Leonard 2 AST)")</f>
        <v>N. Batum 26' 3PT  (3 PTS) (K. Leonard 2 AST)</v>
      </c>
      <c r="L545" s="2" t="str">
        <f>HYPERLINK("https://www.nba.com/game/...-vs-...-0022000605/play-by-play?watchFullGame=true", "LAC vs DAL - Q1 01:49.00")</f>
        <v>LAC vs DAL - Q1 01:49.00</v>
      </c>
      <c r="M545">
        <v>26.01</v>
      </c>
      <c r="N545">
        <v>66.84</v>
      </c>
      <c r="O545">
        <v>54.24</v>
      </c>
      <c r="P545">
        <v>21</v>
      </c>
      <c r="Q545">
        <v>259</v>
      </c>
      <c r="R545">
        <v>66</v>
      </c>
      <c r="S545">
        <v>54</v>
      </c>
      <c r="T545" t="s">
        <v>58</v>
      </c>
    </row>
    <row r="546" spans="1:20" x14ac:dyDescent="0.25">
      <c r="A546">
        <v>22000788</v>
      </c>
      <c r="B546" t="s">
        <v>10</v>
      </c>
      <c r="C546" t="s">
        <v>9</v>
      </c>
      <c r="D546">
        <v>93</v>
      </c>
      <c r="E546">
        <v>83</v>
      </c>
      <c r="F546">
        <v>10</v>
      </c>
      <c r="G546">
        <v>4</v>
      </c>
      <c r="H546" s="1">
        <v>6.0879629629629626E-3</v>
      </c>
      <c r="I546">
        <v>2020</v>
      </c>
      <c r="J546" t="s">
        <v>59</v>
      </c>
      <c r="K546" s="2" t="str">
        <f>HYPERLINK("https://www.nba.com/stats/events?CFID=&amp;CFPARAMS=&amp;GameEventID=478&amp;GameID=0022000788&amp;Season=2020-21&amp;flag=1&amp;title=R.%20Rondo%2027'%203PT%20step%20back%20(10%20PTS)%20(K.%20Leonard%205%20AST)", "R. Rondo 27' 3PT step back (10 PTS) (K. Leonard 5 AST)")</f>
        <v>R. Rondo 27' 3PT step back (10 PTS) (K. Leonard 5 AST)</v>
      </c>
      <c r="L546" s="2" t="str">
        <f>HYPERLINK("https://www.nba.com/game/...-vs-...-0022000788/play-by-play?watchFullGame=true", "LAC vs PHX - Q4 08:46.00")</f>
        <v>LAC vs PHX - Q4 08:46.00</v>
      </c>
      <c r="M546">
        <v>27.46</v>
      </c>
      <c r="N546">
        <v>66.97</v>
      </c>
      <c r="O546">
        <v>31.2</v>
      </c>
      <c r="P546">
        <v>-94</v>
      </c>
      <c r="Q546">
        <v>258</v>
      </c>
      <c r="R546">
        <v>66</v>
      </c>
      <c r="S546">
        <v>31</v>
      </c>
      <c r="T546" t="s">
        <v>58</v>
      </c>
    </row>
    <row r="547" spans="1:20" x14ac:dyDescent="0.25">
      <c r="A547">
        <v>21900090</v>
      </c>
      <c r="B547" t="s">
        <v>10</v>
      </c>
      <c r="C547" t="s">
        <v>61</v>
      </c>
      <c r="D547">
        <v>89</v>
      </c>
      <c r="E547">
        <v>86</v>
      </c>
      <c r="F547">
        <v>3</v>
      </c>
      <c r="G547">
        <v>4</v>
      </c>
      <c r="H547" s="1">
        <v>2.673611111111111E-3</v>
      </c>
      <c r="I547">
        <v>2019</v>
      </c>
      <c r="J547" t="s">
        <v>59</v>
      </c>
      <c r="K547" s="2" t="str">
        <f>HYPERLINK("https://www.nba.com/stats/events?CFID=&amp;CFPARAMS=&amp;GameEventID=625&amp;GameID=0021900090&amp;Season=2019-20&amp;flag=1&amp;title=[LAC]%20Williams%203pt%20shot:%20Made%20(17%20PTS)%20assist:%20Leonard%20(2%20AST)", "[LAC] Williams 3pt shot: Made (17 PTS) assist: Leonard (2 AST)")</f>
        <v>[LAC] Williams 3pt shot: Made (17 PTS) assist: Leonard (2 AST)</v>
      </c>
      <c r="L547" s="2" t="str">
        <f>HYPERLINK("https://www.nba.com/game/...-vs-...-0021900090/play-by-play?watchFullGame=true", "LAC vs UTA - Q4 03:51.00")</f>
        <v>LAC vs UTA - Q4 03:51.00</v>
      </c>
      <c r="M547">
        <v>26.63</v>
      </c>
      <c r="N547">
        <v>66.930000000000007</v>
      </c>
      <c r="O547">
        <v>57.28</v>
      </c>
      <c r="P547">
        <v>36</v>
      </c>
      <c r="Q547">
        <v>258</v>
      </c>
      <c r="R547">
        <v>66</v>
      </c>
      <c r="S547">
        <v>57</v>
      </c>
      <c r="T547" t="s">
        <v>58</v>
      </c>
    </row>
    <row r="548" spans="1:20" x14ac:dyDescent="0.25">
      <c r="A548">
        <v>22000105</v>
      </c>
      <c r="B548" t="s">
        <v>10</v>
      </c>
      <c r="C548" t="s">
        <v>9</v>
      </c>
      <c r="D548">
        <v>109</v>
      </c>
      <c r="E548">
        <v>115</v>
      </c>
      <c r="F548">
        <v>6</v>
      </c>
      <c r="G548">
        <v>4</v>
      </c>
      <c r="H548" s="1">
        <v>1.0648148148148149E-3</v>
      </c>
      <c r="I548">
        <v>2020</v>
      </c>
      <c r="J548" t="s">
        <v>59</v>
      </c>
      <c r="K548" s="2" t="str">
        <f>HYPERLINK("https://www.nba.com/stats/events?CFID=&amp;CFPARAMS=&amp;GameEventID=577&amp;GameID=0022000105&amp;Season=2020-21&amp;flag=1&amp;title=L.%20Williams%2026'%203PT%20%20(15%20PTS)%20(K.%20Leonard%2010%20AST)", "L. Williams 26' 3PT  (15 PTS) (K. Leonard 10 AST)")</f>
        <v>L. Williams 26' 3PT  (15 PTS) (K. Leonard 10 AST)</v>
      </c>
      <c r="L548" s="2" t="str">
        <f>HYPERLINK("https://www.nba.com/game/...-vs-...-0022000105/play-by-play?watchFullGame=true", "LAC vs SAS - Q4 01:32.00")</f>
        <v>LAC vs SAS - Q4 01:32.00</v>
      </c>
      <c r="M548">
        <v>26.55</v>
      </c>
      <c r="N548">
        <v>66.180000000000007</v>
      </c>
      <c r="O548">
        <v>51.78</v>
      </c>
      <c r="P548">
        <v>9</v>
      </c>
      <c r="Q548">
        <v>265</v>
      </c>
      <c r="R548">
        <v>66</v>
      </c>
      <c r="S548">
        <v>51</v>
      </c>
      <c r="T548" t="s">
        <v>58</v>
      </c>
    </row>
    <row r="549" spans="1:20" x14ac:dyDescent="0.25">
      <c r="A549">
        <v>22300037</v>
      </c>
      <c r="B549" t="s">
        <v>10</v>
      </c>
      <c r="C549" t="s">
        <v>9</v>
      </c>
      <c r="D549">
        <v>103</v>
      </c>
      <c r="E549">
        <v>100</v>
      </c>
      <c r="F549">
        <v>3</v>
      </c>
      <c r="G549">
        <v>4</v>
      </c>
      <c r="H549" s="1">
        <v>6.9444444444444444E-5</v>
      </c>
      <c r="I549">
        <v>2023</v>
      </c>
      <c r="J549" t="s">
        <v>59</v>
      </c>
      <c r="K549" s="2" t="str">
        <f>HYPERLINK("https://www.nba.com/stats/events?CFID=&amp;CFPARAMS=&amp;GameEventID=690&amp;GameID=0022300037&amp;Season=2023-24&amp;flag=1&amp;title=J.%20Harden%2026'%203PT%20%20(23%20PTS)%20(K.%20Leonard%202%20AST)", "J. Harden 26' 3PT  (23 PTS) (K. Leonard 2 AST)")</f>
        <v>J. Harden 26' 3PT  (23 PTS) (K. Leonard 2 AST)</v>
      </c>
      <c r="L549" s="2" t="str">
        <f>HYPERLINK("https://www.nba.com/game/...-vs-...-0022300037/play-by-play?watchFullGame=true", "LAC vs HOU - Q4 00:06.00")</f>
        <v>LAC vs HOU - Q4 00:06.00</v>
      </c>
      <c r="M549">
        <v>26.26</v>
      </c>
      <c r="N549">
        <v>66.8</v>
      </c>
      <c r="O549">
        <v>58.09</v>
      </c>
      <c r="P549">
        <v>40</v>
      </c>
      <c r="Q549">
        <v>260</v>
      </c>
      <c r="R549">
        <v>66</v>
      </c>
      <c r="S549">
        <v>58</v>
      </c>
      <c r="T549" t="s">
        <v>58</v>
      </c>
    </row>
    <row r="550" spans="1:20" x14ac:dyDescent="0.25">
      <c r="A550">
        <v>21901258</v>
      </c>
      <c r="B550" t="s">
        <v>10</v>
      </c>
      <c r="C550" t="s">
        <v>61</v>
      </c>
      <c r="D550">
        <v>102</v>
      </c>
      <c r="E550">
        <v>105</v>
      </c>
      <c r="F550">
        <v>3</v>
      </c>
      <c r="G550">
        <v>4</v>
      </c>
      <c r="H550" s="1">
        <v>4.1550925925925922E-3</v>
      </c>
      <c r="I550">
        <v>2019</v>
      </c>
      <c r="J550" t="s">
        <v>59</v>
      </c>
      <c r="K550" s="2" t="str">
        <f>HYPERLINK("https://www.nba.com/stats/events?CFID=&amp;CFPARAMS=&amp;GameEventID=535&amp;GameID=0021901258&amp;Season=2019-20&amp;flag=1&amp;title=R.%20Jackson%2027'%203PT%20%20(5%20PTS)%20(K.%20Leonard%203%20AST)", "R. Jackson 27' 3PT  (5 PTS) (K. Leonard 3 AST)")</f>
        <v>R. Jackson 27' 3PT  (5 PTS) (K. Leonard 3 AST)</v>
      </c>
      <c r="L550" s="2" t="str">
        <f>HYPERLINK("https://www.nba.com/game/...-vs-...-0021901258/play-by-play?watchFullGame=true", "LAC vs PHX - Q4 05:59.00")</f>
        <v>LAC vs PHX - Q4 05:59.00</v>
      </c>
      <c r="M550">
        <v>27</v>
      </c>
      <c r="N550">
        <v>66.31</v>
      </c>
      <c r="O550">
        <v>47.37</v>
      </c>
      <c r="P550">
        <v>-13</v>
      </c>
      <c r="Q550">
        <v>264</v>
      </c>
      <c r="R550">
        <v>66</v>
      </c>
      <c r="S550">
        <v>47</v>
      </c>
      <c r="T550" t="s">
        <v>58</v>
      </c>
    </row>
    <row r="551" spans="1:20" x14ac:dyDescent="0.25">
      <c r="A551">
        <v>22400671</v>
      </c>
      <c r="B551" t="s">
        <v>10</v>
      </c>
      <c r="C551" t="s">
        <v>9</v>
      </c>
      <c r="D551">
        <v>59</v>
      </c>
      <c r="E551">
        <v>49</v>
      </c>
      <c r="F551">
        <v>10</v>
      </c>
      <c r="G551">
        <v>2</v>
      </c>
      <c r="H551" s="1">
        <v>2.2916666666666667E-3</v>
      </c>
      <c r="I551">
        <v>2024</v>
      </c>
      <c r="J551" t="s">
        <v>59</v>
      </c>
      <c r="K551" s="2" t="str">
        <f>HYPERLINK("https://www.nba.com/stats/events?CFID=&amp;CFPARAMS=&amp;GameEventID=287&amp;GameID=0022400671&amp;Season=2024-25&amp;flag=1&amp;title=J.%20Harden%2026'%203PT%20%20(8%20PTS)%20(K.%20Leonard%204%20AST)", "J. Harden 26' 3PT  (8 PTS) (K. Leonard 4 AST)")</f>
        <v>J. Harden 26' 3PT  (8 PTS) (K. Leonard 4 AST)</v>
      </c>
      <c r="L551" s="2" t="str">
        <f>HYPERLINK("https://www.nba.com/game/...-vs-...-0022400671/play-by-play?watchFullGame=true", "LAC vs SAS - Q2 03:18.00")</f>
        <v>LAC vs SAS - Q2 03:18.00</v>
      </c>
      <c r="M551">
        <v>26.13</v>
      </c>
      <c r="N551">
        <v>66.7</v>
      </c>
      <c r="O551">
        <v>54.17</v>
      </c>
      <c r="P551">
        <v>21</v>
      </c>
      <c r="Q551">
        <v>260</v>
      </c>
      <c r="R551">
        <v>66</v>
      </c>
      <c r="S551">
        <v>54</v>
      </c>
      <c r="T551" t="s">
        <v>58</v>
      </c>
    </row>
    <row r="552" spans="1:20" x14ac:dyDescent="0.25">
      <c r="A552">
        <v>22200617</v>
      </c>
      <c r="B552" t="s">
        <v>10</v>
      </c>
      <c r="C552" t="s">
        <v>9</v>
      </c>
      <c r="D552">
        <v>62</v>
      </c>
      <c r="E552">
        <v>42</v>
      </c>
      <c r="F552">
        <v>20</v>
      </c>
      <c r="G552">
        <v>2</v>
      </c>
      <c r="H552" s="1">
        <v>1.5972222222222223E-3</v>
      </c>
      <c r="I552">
        <v>2022</v>
      </c>
      <c r="J552" t="s">
        <v>59</v>
      </c>
      <c r="K552" s="2" t="str">
        <f>HYPERLINK("https://www.nba.com/stats/events?CFID=&amp;CFPARAMS=&amp;GameEventID=306&amp;GameID=0022200617&amp;Season=2022-23&amp;flag=1&amp;title=N.%20Powell%2026'%203PT%20pullup%20(13%20PTS)%20(K.%20Leonard%203%20AST)", "N. Powell 26' 3PT pullup (13 PTS) (K. Leonard 3 AST)")</f>
        <v>N. Powell 26' 3PT pullup (13 PTS) (K. Leonard 3 AST)</v>
      </c>
      <c r="L552" s="2" t="str">
        <f>HYPERLINK("https://www.nba.com/game/...-vs-...-0022200617/play-by-play?watchFullGame=true", "LAC vs DAL - Q2 02:18.00")</f>
        <v>LAC vs DAL - Q2 02:18.00</v>
      </c>
      <c r="M552">
        <v>26.72</v>
      </c>
      <c r="N552">
        <v>66.41</v>
      </c>
      <c r="O552">
        <v>59.07</v>
      </c>
      <c r="P552">
        <v>45</v>
      </c>
      <c r="Q552">
        <v>263</v>
      </c>
      <c r="R552">
        <v>66</v>
      </c>
      <c r="S552">
        <v>59</v>
      </c>
      <c r="T552" t="s">
        <v>58</v>
      </c>
    </row>
    <row r="553" spans="1:20" x14ac:dyDescent="0.25">
      <c r="A553">
        <v>22400596</v>
      </c>
      <c r="B553" t="s">
        <v>10</v>
      </c>
      <c r="C553" t="s">
        <v>9</v>
      </c>
      <c r="D553">
        <v>5</v>
      </c>
      <c r="E553">
        <v>4</v>
      </c>
      <c r="F553">
        <v>1</v>
      </c>
      <c r="G553">
        <v>1</v>
      </c>
      <c r="H553" s="1">
        <v>7.1759259259259259E-3</v>
      </c>
      <c r="I553">
        <v>2024</v>
      </c>
      <c r="J553" t="s">
        <v>59</v>
      </c>
      <c r="K553" s="2" t="str">
        <f>HYPERLINK("https://www.nba.com/stats/events?CFID=&amp;CFPARAMS=&amp;GameEventID=21&amp;GameID=0022400596&amp;Season=2024-25&amp;flag=1&amp;title=N.%20Powell%2026'%203PT%20%20(5%20PTS)%20(K.%20Leonard%201%20AST)", "N. Powell 26' 3PT  (5 PTS) (K. Leonard 1 AST)")</f>
        <v>N. Powell 26' 3PT  (5 PTS) (K. Leonard 1 AST)</v>
      </c>
      <c r="L553" s="2" t="str">
        <f>HYPERLINK("https://www.nba.com/game/...-vs-...-0022400596/play-by-play?watchFullGame=true", "LAC vs LAL - Q1 10:20.00")</f>
        <v>LAC vs LAL - Q1 10:20.00</v>
      </c>
      <c r="M553">
        <v>26.64</v>
      </c>
      <c r="N553">
        <v>66.31</v>
      </c>
      <c r="O553">
        <v>56.86</v>
      </c>
      <c r="P553">
        <v>34</v>
      </c>
      <c r="Q553">
        <v>264</v>
      </c>
      <c r="R553">
        <v>66</v>
      </c>
      <c r="S553">
        <v>56</v>
      </c>
      <c r="T553" t="s">
        <v>58</v>
      </c>
    </row>
    <row r="554" spans="1:20" x14ac:dyDescent="0.25">
      <c r="A554">
        <v>22400733</v>
      </c>
      <c r="B554" t="s">
        <v>10</v>
      </c>
      <c r="C554" t="s">
        <v>9</v>
      </c>
      <c r="D554">
        <v>5</v>
      </c>
      <c r="E554">
        <v>0</v>
      </c>
      <c r="F554">
        <v>5</v>
      </c>
      <c r="G554">
        <v>1</v>
      </c>
      <c r="H554" s="1">
        <v>7.3032407407407404E-3</v>
      </c>
      <c r="I554">
        <v>2024</v>
      </c>
      <c r="J554" t="s">
        <v>59</v>
      </c>
      <c r="K554" s="2" t="str">
        <f>HYPERLINK("https://www.nba.com/stats/events?CFID=&amp;CFPARAMS=&amp;GameEventID=15&amp;GameID=0022400733&amp;Season=2024-25&amp;flag=1&amp;title=N.%20Powell%2026'%203PT%20pullup%20(3%20PTS)%20(K.%20Leonard%202%20AST)", "N. Powell 26' 3PT pullup (3 PTS) (K. Leonard 2 AST)")</f>
        <v>N. Powell 26' 3PT pullup (3 PTS) (K. Leonard 2 AST)</v>
      </c>
      <c r="L554" s="2" t="str">
        <f>HYPERLINK("https://www.nba.com/game/...-vs-...-0022400733/play-by-play?watchFullGame=true", "LAC vs IND - Q1 10:31.00")</f>
        <v>LAC vs IND - Q1 10:31.00</v>
      </c>
      <c r="M554">
        <v>26.67</v>
      </c>
      <c r="N554">
        <v>66.569999999999993</v>
      </c>
      <c r="O554">
        <v>60.29</v>
      </c>
      <c r="P554">
        <v>51</v>
      </c>
      <c r="Q554">
        <v>262</v>
      </c>
      <c r="R554">
        <v>66</v>
      </c>
      <c r="S554">
        <v>60</v>
      </c>
      <c r="T554" t="s">
        <v>58</v>
      </c>
    </row>
    <row r="555" spans="1:20" x14ac:dyDescent="0.25">
      <c r="A555">
        <v>22201162</v>
      </c>
      <c r="B555" t="s">
        <v>10</v>
      </c>
      <c r="C555" t="s">
        <v>9</v>
      </c>
      <c r="D555">
        <v>12</v>
      </c>
      <c r="E555">
        <v>9</v>
      </c>
      <c r="F555">
        <v>3</v>
      </c>
      <c r="G555">
        <v>1</v>
      </c>
      <c r="H555" s="1">
        <v>4.8263888888888887E-3</v>
      </c>
      <c r="I555">
        <v>2022</v>
      </c>
      <c r="J555" t="s">
        <v>59</v>
      </c>
      <c r="K555" s="2" t="str">
        <f>HYPERLINK("https://www.nba.com/stats/events?CFID=&amp;CFPARAMS=&amp;GameEventID=58&amp;GameID=0022201162&amp;Season=2022-23&amp;flag=1&amp;title=R.%20Westbrook%2026'%203PT%20%20(6%20PTS)%20(K.%20Leonard%202%20AST)", "R. Westbrook 26' 3PT  (6 PTS) (K. Leonard 2 AST)")</f>
        <v>R. Westbrook 26' 3PT  (6 PTS) (K. Leonard 2 AST)</v>
      </c>
      <c r="L555" s="2" t="str">
        <f>HYPERLINK("https://www.nba.com/game/...-vs-...-0022201162/play-by-play?watchFullGame=true", "LAC vs NOP - Q1 06:57.00")</f>
        <v>LAC vs NOP - Q1 06:57.00</v>
      </c>
      <c r="M555">
        <v>26.26</v>
      </c>
      <c r="N555">
        <v>66.97</v>
      </c>
      <c r="O555">
        <v>40.200000000000003</v>
      </c>
      <c r="P555">
        <v>-49</v>
      </c>
      <c r="Q555">
        <v>258</v>
      </c>
      <c r="R555">
        <v>66</v>
      </c>
      <c r="S555">
        <v>40</v>
      </c>
      <c r="T555" t="s">
        <v>58</v>
      </c>
    </row>
    <row r="556" spans="1:20" x14ac:dyDescent="0.25">
      <c r="A556">
        <v>22300309</v>
      </c>
      <c r="B556" t="s">
        <v>10</v>
      </c>
      <c r="C556" t="s">
        <v>9</v>
      </c>
      <c r="D556">
        <v>27</v>
      </c>
      <c r="E556">
        <v>19</v>
      </c>
      <c r="F556">
        <v>8</v>
      </c>
      <c r="G556">
        <v>1</v>
      </c>
      <c r="H556" s="1">
        <v>1.5625000000000001E-3</v>
      </c>
      <c r="I556">
        <v>2023</v>
      </c>
      <c r="J556" t="s">
        <v>59</v>
      </c>
      <c r="K556" s="2" t="str">
        <f>HYPERLINK("https://www.nba.com/stats/events?CFID=&amp;CFPARAMS=&amp;GameEventID=127&amp;GameID=0022300309&amp;Season=2023-24&amp;flag=1&amp;title=N.%20Powell%2026'%203PT%20%20(3%20PTS)%20(K.%20Leonard%201%20AST)", "N. Powell 26' 3PT  (3 PTS) (K. Leonard 1 AST)")</f>
        <v>N. Powell 26' 3PT  (3 PTS) (K. Leonard 1 AST)</v>
      </c>
      <c r="L556" s="2" t="str">
        <f>HYPERLINK("https://www.nba.com/game/...-vs-...-0022300309/play-by-play?watchFullGame=true", "LAC vs SAC - Q1 02:15.00")</f>
        <v>LAC vs SAC - Q1 02:15.00</v>
      </c>
      <c r="M556">
        <v>26.65</v>
      </c>
      <c r="N556">
        <v>66.150000000000006</v>
      </c>
      <c r="O556">
        <v>45.83</v>
      </c>
      <c r="P556">
        <v>-21</v>
      </c>
      <c r="Q556">
        <v>266</v>
      </c>
      <c r="R556">
        <v>66</v>
      </c>
      <c r="S556">
        <v>45</v>
      </c>
      <c r="T556" t="s">
        <v>58</v>
      </c>
    </row>
    <row r="557" spans="1:20" x14ac:dyDescent="0.25">
      <c r="A557">
        <v>22200538</v>
      </c>
      <c r="B557" t="s">
        <v>10</v>
      </c>
      <c r="C557" t="s">
        <v>9</v>
      </c>
      <c r="D557">
        <v>52</v>
      </c>
      <c r="E557">
        <v>57</v>
      </c>
      <c r="F557">
        <v>5</v>
      </c>
      <c r="G557">
        <v>2</v>
      </c>
      <c r="H557" s="1">
        <v>1.1458333333333333E-3</v>
      </c>
      <c r="I557">
        <v>2022</v>
      </c>
      <c r="J557" t="s">
        <v>59</v>
      </c>
      <c r="K557" s="2" t="str">
        <f>HYPERLINK("https://www.nba.com/stats/events?CFID=&amp;CFPARAMS=&amp;GameEventID=267&amp;GameID=0022200538&amp;Season=2022-23&amp;flag=1&amp;title=R.%20Jackson%2026'%203PT%20running%20(3%20PTS)%20(K.%20Leonard%202%20AST)", "R. Jackson 26' 3PT running (3 PTS) (K. Leonard 2 AST)")</f>
        <v>R. Jackson 26' 3PT running (3 PTS) (K. Leonard 2 AST)</v>
      </c>
      <c r="L557" s="2" t="str">
        <f>HYPERLINK("https://www.nba.com/game/...-vs-...-0022200538/play-by-play?watchFullGame=true", "LAC vs IND - Q2 01:39.00")</f>
        <v>LAC vs IND - Q2 01:39.00</v>
      </c>
      <c r="M557">
        <v>26.17</v>
      </c>
      <c r="N557">
        <v>67.099999999999994</v>
      </c>
      <c r="O557">
        <v>39.950000000000003</v>
      </c>
      <c r="P557">
        <v>-50</v>
      </c>
      <c r="Q557">
        <v>257</v>
      </c>
      <c r="R557">
        <v>67</v>
      </c>
      <c r="S557">
        <v>39</v>
      </c>
      <c r="T557" t="s">
        <v>58</v>
      </c>
    </row>
    <row r="558" spans="1:20" x14ac:dyDescent="0.25">
      <c r="A558">
        <v>22000172</v>
      </c>
      <c r="B558" t="s">
        <v>10</v>
      </c>
      <c r="C558" t="s">
        <v>9</v>
      </c>
      <c r="D558">
        <v>82</v>
      </c>
      <c r="E558">
        <v>71</v>
      </c>
      <c r="F558">
        <v>11</v>
      </c>
      <c r="G558">
        <v>3</v>
      </c>
      <c r="H558" s="1">
        <v>8.564814814814815E-4</v>
      </c>
      <c r="I558">
        <v>2020</v>
      </c>
      <c r="J558" t="s">
        <v>59</v>
      </c>
      <c r="K558" s="2" t="str">
        <f>HYPERLINK("https://www.nba.com/stats/events?CFID=&amp;CFPARAMS=&amp;GameEventID=421&amp;GameID=0022000172&amp;Season=2020-21&amp;flag=1&amp;title=L.%20Kennard%2026'%203PT%20%20(6%20PTS)%20(K.%20Leonard%206%20AST)", "L. Kennard 26' 3PT  (6 PTS) (K. Leonard 6 AST)")</f>
        <v>L. Kennard 26' 3PT  (6 PTS) (K. Leonard 6 AST)</v>
      </c>
      <c r="L558" s="2" t="str">
        <f>HYPERLINK("https://www.nba.com/game/...-vs-...-0022000172/play-by-play?watchFullGame=true", "LAC vs NOP - Q3 01:14.00")</f>
        <v>LAC vs NOP - Q3 01:14.00</v>
      </c>
      <c r="M558">
        <v>26.88</v>
      </c>
      <c r="N558">
        <v>67.459999999999994</v>
      </c>
      <c r="O558">
        <v>32.04</v>
      </c>
      <c r="P558">
        <v>-90</v>
      </c>
      <c r="Q558">
        <v>253</v>
      </c>
      <c r="R558">
        <v>67</v>
      </c>
      <c r="S558">
        <v>32</v>
      </c>
      <c r="T558" t="s">
        <v>58</v>
      </c>
    </row>
    <row r="559" spans="1:20" x14ac:dyDescent="0.25">
      <c r="A559">
        <v>22300526</v>
      </c>
      <c r="B559" t="s">
        <v>10</v>
      </c>
      <c r="C559" t="s">
        <v>9</v>
      </c>
      <c r="D559">
        <v>69</v>
      </c>
      <c r="E559">
        <v>69</v>
      </c>
      <c r="F559">
        <v>0</v>
      </c>
      <c r="G559">
        <v>3</v>
      </c>
      <c r="H559" s="1">
        <v>5.9259259259259256E-3</v>
      </c>
      <c r="I559">
        <v>2023</v>
      </c>
      <c r="J559" t="s">
        <v>59</v>
      </c>
      <c r="K559" s="2" t="str">
        <f>HYPERLINK("https://www.nba.com/stats/events?CFID=&amp;CFPARAMS=&amp;GameEventID=338&amp;GameID=0022300526&amp;Season=2023-24&amp;flag=1&amp;title=P.%20George%2026'%203PT%20pullup%20(10%20PTS)%20(K.%20Leonard%204%20AST)", "P. George 26' 3PT pullup (10 PTS) (K. Leonard 4 AST)")</f>
        <v>P. George 26' 3PT pullup (10 PTS) (K. Leonard 4 AST)</v>
      </c>
      <c r="L559" s="2" t="str">
        <f>HYPERLINK("https://www.nba.com/game/...-vs-...-0022300526/play-by-play?watchFullGame=true", "LAC vs TOR - Q3 08:32.00")</f>
        <v>LAC vs TOR - Q3 08:32.00</v>
      </c>
      <c r="M559">
        <v>26.46</v>
      </c>
      <c r="N559">
        <v>67.459999999999994</v>
      </c>
      <c r="O559">
        <v>34.799999999999997</v>
      </c>
      <c r="P559">
        <v>-76</v>
      </c>
      <c r="Q559">
        <v>253</v>
      </c>
      <c r="R559">
        <v>67</v>
      </c>
      <c r="S559">
        <v>34</v>
      </c>
      <c r="T559" t="s">
        <v>58</v>
      </c>
    </row>
    <row r="560" spans="1:20" x14ac:dyDescent="0.25">
      <c r="A560">
        <v>21900499</v>
      </c>
      <c r="B560" t="s">
        <v>10</v>
      </c>
      <c r="C560" t="s">
        <v>61</v>
      </c>
      <c r="D560">
        <v>24</v>
      </c>
      <c r="E560">
        <v>20</v>
      </c>
      <c r="F560">
        <v>4</v>
      </c>
      <c r="G560">
        <v>1</v>
      </c>
      <c r="H560" s="1">
        <v>1.3657407407407407E-3</v>
      </c>
      <c r="I560">
        <v>2019</v>
      </c>
      <c r="J560" t="s">
        <v>59</v>
      </c>
      <c r="K560" s="2" t="str">
        <f>HYPERLINK("https://www.nba.com/stats/events?CFID=&amp;CFPARAMS=&amp;GameEventID=133&amp;GameID=0021900499&amp;Season=2019-20&amp;flag=1&amp;title=D.%20Walton%20Jr.%2026'%203PT%20%20(5%20PTS)%20(K.%20Leonard%202%20AST)", "D. Walton Jr. 26' 3PT  (5 PTS) (K. Leonard 2 AST)")</f>
        <v>D. Walton Jr. 26' 3PT  (5 PTS) (K. Leonard 2 AST)</v>
      </c>
      <c r="L560" s="2" t="str">
        <f>HYPERLINK("https://www.nba.com/game/...-vs-...-0021900499/play-by-play?watchFullGame=true", "LAC vs SAC - Q1 01:58.00")</f>
        <v>LAC vs SAC - Q1 01:58.00</v>
      </c>
      <c r="M560">
        <v>26.02</v>
      </c>
      <c r="N560">
        <v>67.36</v>
      </c>
      <c r="O560">
        <v>47.13</v>
      </c>
      <c r="P560">
        <v>-14</v>
      </c>
      <c r="Q560">
        <v>254</v>
      </c>
      <c r="R560">
        <v>67</v>
      </c>
      <c r="S560">
        <v>47</v>
      </c>
      <c r="T560" t="s">
        <v>58</v>
      </c>
    </row>
    <row r="561" spans="1:20" x14ac:dyDescent="0.25">
      <c r="A561">
        <v>22000554</v>
      </c>
      <c r="B561" t="s">
        <v>10</v>
      </c>
      <c r="C561" t="s">
        <v>9</v>
      </c>
      <c r="D561">
        <v>109</v>
      </c>
      <c r="E561">
        <v>113</v>
      </c>
      <c r="F561">
        <v>4</v>
      </c>
      <c r="G561">
        <v>4</v>
      </c>
      <c r="H561" s="1">
        <v>4.8379629629629624E-4</v>
      </c>
      <c r="I561">
        <v>2020</v>
      </c>
      <c r="J561" t="s">
        <v>59</v>
      </c>
      <c r="K561" s="2" t="str">
        <f>HYPERLINK("https://www.nba.com/stats/events?CFID=&amp;CFPARAMS=&amp;GameEventID=684&amp;GameID=0022000554&amp;Season=2020-21&amp;flag=1&amp;title=N.%20Batum%2027'%203PT%20%20(6%20PTS)%20(K.%20Leonard%203%20AST)", "N. Batum 27' 3PT  (6 PTS) (K. Leonard 3 AST)")</f>
        <v>N. Batum 27' 3PT  (6 PTS) (K. Leonard 3 AST)</v>
      </c>
      <c r="L561" s="2" t="str">
        <f>HYPERLINK("https://www.nba.com/game/...-vs-...-0022000554/play-by-play?watchFullGame=true", "LAC vs WAS - Q4 00:41.80")</f>
        <v>LAC vs WAS - Q4 00:41.80</v>
      </c>
      <c r="M561">
        <v>27.62</v>
      </c>
      <c r="N561">
        <v>67.62</v>
      </c>
      <c r="O561">
        <v>27.27</v>
      </c>
      <c r="P561">
        <v>-114</v>
      </c>
      <c r="Q561">
        <v>252</v>
      </c>
      <c r="R561">
        <v>67</v>
      </c>
      <c r="S561">
        <v>27</v>
      </c>
      <c r="T561" t="s">
        <v>58</v>
      </c>
    </row>
    <row r="562" spans="1:20" x14ac:dyDescent="0.25">
      <c r="A562">
        <v>22001002</v>
      </c>
      <c r="B562" t="s">
        <v>10</v>
      </c>
      <c r="C562" t="s">
        <v>9</v>
      </c>
      <c r="D562">
        <v>5</v>
      </c>
      <c r="E562">
        <v>2</v>
      </c>
      <c r="F562">
        <v>3</v>
      </c>
      <c r="G562">
        <v>1</v>
      </c>
      <c r="H562" s="1">
        <v>6.7708333333333336E-3</v>
      </c>
      <c r="I562">
        <v>2020</v>
      </c>
      <c r="J562" t="s">
        <v>59</v>
      </c>
      <c r="K562" s="2" t="str">
        <f>HYPERLINK("https://www.nba.com/stats/events?CFID=&amp;CFPARAMS=&amp;GameEventID=28&amp;GameID=0022001002&amp;Season=2020-21&amp;flag=1&amp;title=R.%20Jackson%2028'%203PT%20%20(3%20PTS)%20(K.%20Leonard%201%20AST)", "R. Jackson 28' 3PT  (3 PTS) (K. Leonard 1 AST)")</f>
        <v>R. Jackson 28' 3PT  (3 PTS) (K. Leonard 1 AST)</v>
      </c>
      <c r="L562" s="2" t="str">
        <f>HYPERLINK("https://www.nba.com/game/...-vs-...-0022001002/play-by-play?watchFullGame=true", "LAC vs LAL - Q1 09:45.00")</f>
        <v>LAC vs LAL - Q1 09:45.00</v>
      </c>
      <c r="M562">
        <v>28.57</v>
      </c>
      <c r="N562">
        <v>67.89</v>
      </c>
      <c r="O562">
        <v>22.13</v>
      </c>
      <c r="P562">
        <v>-139</v>
      </c>
      <c r="Q562">
        <v>249</v>
      </c>
      <c r="R562">
        <v>67</v>
      </c>
      <c r="S562">
        <v>22</v>
      </c>
      <c r="T562" t="s">
        <v>58</v>
      </c>
    </row>
    <row r="563" spans="1:20" x14ac:dyDescent="0.25">
      <c r="A563">
        <v>22201096</v>
      </c>
      <c r="B563" t="s">
        <v>10</v>
      </c>
      <c r="C563" t="s">
        <v>9</v>
      </c>
      <c r="D563">
        <v>27</v>
      </c>
      <c r="E563">
        <v>24</v>
      </c>
      <c r="F563">
        <v>3</v>
      </c>
      <c r="G563">
        <v>1</v>
      </c>
      <c r="H563" s="1">
        <v>1.5393518518518519E-3</v>
      </c>
      <c r="I563">
        <v>2022</v>
      </c>
      <c r="J563" t="s">
        <v>59</v>
      </c>
      <c r="K563" s="2" t="str">
        <f>HYPERLINK("https://www.nba.com/stats/events?CFID=&amp;CFPARAMS=&amp;GameEventID=113&amp;GameID=0022201096&amp;Season=2022-23&amp;flag=1&amp;title=B.%20Hyland%2026'%203PT%20step%20back%20(5%20PTS)%20(K.%20Leonard%202%20AST)", "B. Hyland 26' 3PT step back (5 PTS) (K. Leonard 2 AST)")</f>
        <v>B. Hyland 26' 3PT step back (5 PTS) (K. Leonard 2 AST)</v>
      </c>
      <c r="L563" s="2" t="str">
        <f>HYPERLINK("https://www.nba.com/game/...-vs-...-0022201096/play-by-play?watchFullGame=true", "LAC vs OKC - Q1 02:13.00")</f>
        <v>LAC vs OKC - Q1 02:13.00</v>
      </c>
      <c r="M563">
        <v>26.42</v>
      </c>
      <c r="N563">
        <v>67.2</v>
      </c>
      <c r="O563">
        <v>63.24</v>
      </c>
      <c r="P563">
        <v>66</v>
      </c>
      <c r="Q563">
        <v>256</v>
      </c>
      <c r="R563">
        <v>67</v>
      </c>
      <c r="S563">
        <v>63</v>
      </c>
      <c r="T563" t="s">
        <v>58</v>
      </c>
    </row>
    <row r="564" spans="1:20" x14ac:dyDescent="0.25">
      <c r="A564">
        <v>22300749</v>
      </c>
      <c r="B564" t="s">
        <v>10</v>
      </c>
      <c r="C564" t="s">
        <v>9</v>
      </c>
      <c r="D564">
        <v>9</v>
      </c>
      <c r="E564">
        <v>2</v>
      </c>
      <c r="F564">
        <v>7</v>
      </c>
      <c r="G564">
        <v>1</v>
      </c>
      <c r="H564" s="1">
        <v>6.2962962962962964E-3</v>
      </c>
      <c r="I564">
        <v>2023</v>
      </c>
      <c r="J564" t="s">
        <v>59</v>
      </c>
      <c r="K564" s="2" t="str">
        <f>HYPERLINK("https://www.nba.com/stats/events?CFID=&amp;CFPARAMS=&amp;GameEventID=32&amp;GameID=0022300749&amp;Season=2023-24&amp;flag=1&amp;title=J.%20Harden%2028'%203PT%20%20(3%20PTS)%20(K.%20Leonard%201%20AST)", "J. Harden 28' 3PT  (3 PTS) (K. Leonard 1 AST)")</f>
        <v>J. Harden 28' 3PT  (3 PTS) (K. Leonard 1 AST)</v>
      </c>
      <c r="L564" s="2" t="str">
        <f>HYPERLINK("https://www.nba.com/game/...-vs-...-0022300749/play-by-play?watchFullGame=true", "LAC vs DET - Q1 09:04.00")</f>
        <v>LAC vs DET - Q1 09:04.00</v>
      </c>
      <c r="M564">
        <v>28.1</v>
      </c>
      <c r="N564">
        <v>67.099999999999994</v>
      </c>
      <c r="O564">
        <v>72.790000000000006</v>
      </c>
      <c r="P564">
        <v>114</v>
      </c>
      <c r="Q564">
        <v>257</v>
      </c>
      <c r="R564">
        <v>67</v>
      </c>
      <c r="S564">
        <v>72</v>
      </c>
      <c r="T564" t="s">
        <v>58</v>
      </c>
    </row>
    <row r="565" spans="1:20" x14ac:dyDescent="0.25">
      <c r="A565">
        <v>22000720</v>
      </c>
      <c r="B565" t="s">
        <v>10</v>
      </c>
      <c r="C565" t="s">
        <v>9</v>
      </c>
      <c r="D565">
        <v>60</v>
      </c>
      <c r="E565">
        <v>45</v>
      </c>
      <c r="F565">
        <v>15</v>
      </c>
      <c r="G565">
        <v>3</v>
      </c>
      <c r="H565" s="1">
        <v>4.8263888888888887E-3</v>
      </c>
      <c r="I565">
        <v>2020</v>
      </c>
      <c r="J565" t="s">
        <v>59</v>
      </c>
      <c r="K565" s="2" t="str">
        <f>HYPERLINK("https://www.nba.com/stats/events?CFID=&amp;CFPARAMS=&amp;GameEventID=340&amp;GameID=0022000720&amp;Season=2020-21&amp;flag=1&amp;title=R.%20Jackson%2026'%203PT%20%20(13%20PTS)%20(K.%20Leonard%203%20AST)", "R. Jackson 26' 3PT  (13 PTS) (K. Leonard 3 AST)")</f>
        <v>R. Jackson 26' 3PT  (13 PTS) (K. Leonard 3 AST)</v>
      </c>
      <c r="L565" s="2" t="str">
        <f>HYPERLINK("https://www.nba.com/game/...-vs-...-0022000720/play-by-play?watchFullGame=true", "LAC vs ORL - Q3 06:57.00")</f>
        <v>LAC vs ORL - Q3 06:57.00</v>
      </c>
      <c r="M565">
        <v>26.48</v>
      </c>
      <c r="N565">
        <v>67.62</v>
      </c>
      <c r="O565">
        <v>33.65</v>
      </c>
      <c r="P565">
        <v>-82</v>
      </c>
      <c r="Q565">
        <v>252</v>
      </c>
      <c r="R565">
        <v>67</v>
      </c>
      <c r="S565">
        <v>33</v>
      </c>
      <c r="T565" t="s">
        <v>58</v>
      </c>
    </row>
    <row r="566" spans="1:20" x14ac:dyDescent="0.25">
      <c r="A566">
        <v>22000501</v>
      </c>
      <c r="B566" t="s">
        <v>10</v>
      </c>
      <c r="C566" t="s">
        <v>9</v>
      </c>
      <c r="D566">
        <v>48</v>
      </c>
      <c r="E566">
        <v>49</v>
      </c>
      <c r="F566">
        <v>1</v>
      </c>
      <c r="G566">
        <v>2</v>
      </c>
      <c r="H566" s="1">
        <v>1.9560185185185184E-3</v>
      </c>
      <c r="I566">
        <v>2020</v>
      </c>
      <c r="J566" t="s">
        <v>59</v>
      </c>
      <c r="K566" s="2" t="str">
        <f>HYPERLINK("https://www.nba.com/stats/events?CFID=&amp;CFPARAMS=&amp;GameEventID=280&amp;GameID=0022000501&amp;Season=2020-21&amp;flag=1&amp;title=N.%20Batum%2025'%203PT%20%20(4%20PTS)%20(K.%20Leonard%205%20AST)", "N. Batum 25' 3PT  (4 PTS) (K. Leonard 5 AST)")</f>
        <v>N. Batum 25' 3PT  (4 PTS) (K. Leonard 5 AST)</v>
      </c>
      <c r="L566" s="2" t="str">
        <f>HYPERLINK("https://www.nba.com/game/...-vs-...-0022000501/play-by-play?watchFullGame=true", "LAC vs MEM - Q2 02:49.00")</f>
        <v>LAC vs MEM - Q2 02:49.00</v>
      </c>
      <c r="M566">
        <v>25.55</v>
      </c>
      <c r="N566">
        <v>67.23</v>
      </c>
      <c r="O566">
        <v>50.07</v>
      </c>
      <c r="P566">
        <v>67</v>
      </c>
      <c r="Q566">
        <v>256</v>
      </c>
      <c r="R566">
        <v>67</v>
      </c>
      <c r="S566">
        <v>50</v>
      </c>
      <c r="T566" t="s">
        <v>58</v>
      </c>
    </row>
    <row r="567" spans="1:20" x14ac:dyDescent="0.25">
      <c r="A567">
        <v>22000799</v>
      </c>
      <c r="B567" t="s">
        <v>10</v>
      </c>
      <c r="C567" t="s">
        <v>9</v>
      </c>
      <c r="D567">
        <v>3</v>
      </c>
      <c r="E567">
        <v>0</v>
      </c>
      <c r="F567">
        <v>3</v>
      </c>
      <c r="G567">
        <v>1</v>
      </c>
      <c r="H567" s="1">
        <v>7.8240740740740736E-3</v>
      </c>
      <c r="I567">
        <v>2020</v>
      </c>
      <c r="J567" t="s">
        <v>59</v>
      </c>
      <c r="K567" s="2" t="str">
        <f>HYPERLINK("https://www.nba.com/stats/events?CFID=&amp;CFPARAMS=&amp;GameEventID=12&amp;GameID=0022000799&amp;Season=2020-21&amp;flag=1&amp;title=R.%20Jackson%2027'%203PT%20%20(3%20PTS)%20(K.%20Leonard%201%20AST)", "R. Jackson 27' 3PT  (3 PTS) (K. Leonard 1 AST)")</f>
        <v>R. Jackson 27' 3PT  (3 PTS) (K. Leonard 1 AST)</v>
      </c>
      <c r="L567" s="2" t="str">
        <f>HYPERLINK("https://www.nba.com/game/...-vs-...-0022000799/play-by-play?watchFullGame=true", "LAC vs HOU - Q1 11:16.00")</f>
        <v>LAC vs HOU - Q1 11:16.00</v>
      </c>
      <c r="M567">
        <v>27.15</v>
      </c>
      <c r="N567">
        <v>67.62</v>
      </c>
      <c r="O567">
        <v>29.73</v>
      </c>
      <c r="P567">
        <v>-101</v>
      </c>
      <c r="Q567">
        <v>252</v>
      </c>
      <c r="R567">
        <v>67</v>
      </c>
      <c r="S567">
        <v>29</v>
      </c>
      <c r="T567" t="s">
        <v>58</v>
      </c>
    </row>
    <row r="568" spans="1:20" x14ac:dyDescent="0.25">
      <c r="A568">
        <v>22300458</v>
      </c>
      <c r="B568" t="s">
        <v>10</v>
      </c>
      <c r="C568" t="s">
        <v>9</v>
      </c>
      <c r="D568">
        <v>8</v>
      </c>
      <c r="E568">
        <v>4</v>
      </c>
      <c r="F568">
        <v>4</v>
      </c>
      <c r="G568">
        <v>1</v>
      </c>
      <c r="H568" s="1">
        <v>6.6087962962962966E-3</v>
      </c>
      <c r="I568">
        <v>2023</v>
      </c>
      <c r="J568" t="s">
        <v>59</v>
      </c>
      <c r="K568" s="2" t="str">
        <f>HYPERLINK("https://www.nba.com/stats/events?CFID=&amp;CFPARAMS=&amp;GameEventID=20&amp;GameID=0022300458&amp;Season=2023-24&amp;flag=1&amp;title=J.%20Harden%2026'%203PT%20step%20back%20(5%20PTS)%20(K.%20Leonard%201%20AST)", "J. Harden 26' 3PT step back (5 PTS) (K. Leonard 1 AST)")</f>
        <v>J. Harden 26' 3PT step back (5 PTS) (K. Leonard 1 AST)</v>
      </c>
      <c r="L568" s="2" t="str">
        <f>HYPERLINK("https://www.nba.com/game/...-vs-...-0022300458/play-by-play?watchFullGame=true", "LAC vs MIA - Q1 09:31.00")</f>
        <v>LAC vs MIA - Q1 09:31.00</v>
      </c>
      <c r="M568">
        <v>26.28</v>
      </c>
      <c r="N568">
        <v>67.989999999999995</v>
      </c>
      <c r="O568">
        <v>67.16</v>
      </c>
      <c r="P568">
        <v>86</v>
      </c>
      <c r="Q568">
        <v>248</v>
      </c>
      <c r="R568">
        <v>67</v>
      </c>
      <c r="S568">
        <v>67</v>
      </c>
      <c r="T568" t="s">
        <v>58</v>
      </c>
    </row>
    <row r="569" spans="1:20" x14ac:dyDescent="0.25">
      <c r="A569">
        <v>22300749</v>
      </c>
      <c r="B569" t="s">
        <v>10</v>
      </c>
      <c r="C569" t="s">
        <v>9</v>
      </c>
      <c r="D569">
        <v>22</v>
      </c>
      <c r="E569">
        <v>19</v>
      </c>
      <c r="F569">
        <v>3</v>
      </c>
      <c r="G569">
        <v>1</v>
      </c>
      <c r="H569" s="1">
        <v>2.3379629629629631E-3</v>
      </c>
      <c r="I569">
        <v>2023</v>
      </c>
      <c r="J569" t="s">
        <v>59</v>
      </c>
      <c r="K569" s="2" t="str">
        <f>HYPERLINK("https://www.nba.com/stats/events?CFID=&amp;CFPARAMS=&amp;GameEventID=105&amp;GameID=0022300749&amp;Season=2023-24&amp;flag=1&amp;title=R.%20Westbrook%2026'%203PT%20%20(5%20PTS)%20(K.%20Leonard%203%20AST)", "R. Westbrook 26' 3PT  (5 PTS) (K. Leonard 3 AST)")</f>
        <v>R. Westbrook 26' 3PT  (5 PTS) (K. Leonard 3 AST)</v>
      </c>
      <c r="L569" s="2" t="str">
        <f>HYPERLINK("https://www.nba.com/game/...-vs-...-0022300749/play-by-play?watchFullGame=true", "LAC vs DET - Q1 03:22.00")</f>
        <v>LAC vs DET - Q1 03:22.00</v>
      </c>
      <c r="M569">
        <v>26.62</v>
      </c>
      <c r="N569">
        <v>67.23</v>
      </c>
      <c r="O569">
        <v>64.95</v>
      </c>
      <c r="P569">
        <v>75</v>
      </c>
      <c r="Q569">
        <v>256</v>
      </c>
      <c r="R569">
        <v>67</v>
      </c>
      <c r="S569">
        <v>64</v>
      </c>
      <c r="T569" t="s">
        <v>58</v>
      </c>
    </row>
    <row r="570" spans="1:20" x14ac:dyDescent="0.25">
      <c r="A570">
        <v>22300553</v>
      </c>
      <c r="B570" t="s">
        <v>10</v>
      </c>
      <c r="C570" t="s">
        <v>9</v>
      </c>
      <c r="D570">
        <v>66</v>
      </c>
      <c r="E570">
        <v>76</v>
      </c>
      <c r="F570">
        <v>10</v>
      </c>
      <c r="G570">
        <v>3</v>
      </c>
      <c r="H570" s="1">
        <v>5.9606481481481479E-4</v>
      </c>
      <c r="I570">
        <v>2023</v>
      </c>
      <c r="J570" t="s">
        <v>59</v>
      </c>
      <c r="K570" s="2" t="str">
        <f>HYPERLINK("https://www.nba.com/stats/events?CFID=&amp;CFPARAMS=&amp;GameEventID=434&amp;GameID=0022300553&amp;Season=2023-24&amp;flag=1&amp;title=P.%20George%2024'%203PT%20%20(11%20PTS)%20(K.%20Leonard%204%20AST)", "P. George 24' 3PT  (11 PTS) (K. Leonard 4 AST)")</f>
        <v>P. George 24' 3PT  (11 PTS) (K. Leonard 4 AST)</v>
      </c>
      <c r="L570" s="2" t="str">
        <f>HYPERLINK("https://www.nba.com/game/...-vs-...-0022300553/play-by-play?watchFullGame=true", "LAC vs MIN - Q3 00:51.50")</f>
        <v>LAC vs MIN - Q3 00:51.50</v>
      </c>
      <c r="M570">
        <v>24.96</v>
      </c>
      <c r="N570">
        <v>67.89</v>
      </c>
      <c r="O570">
        <v>51.96</v>
      </c>
      <c r="P570">
        <v>10</v>
      </c>
      <c r="Q570">
        <v>249</v>
      </c>
      <c r="R570">
        <v>67</v>
      </c>
      <c r="S570">
        <v>51</v>
      </c>
      <c r="T570" t="s">
        <v>58</v>
      </c>
    </row>
    <row r="571" spans="1:20" x14ac:dyDescent="0.25">
      <c r="A571">
        <v>42000175</v>
      </c>
      <c r="B571" t="s">
        <v>10</v>
      </c>
      <c r="C571" t="s">
        <v>9</v>
      </c>
      <c r="D571">
        <v>12</v>
      </c>
      <c r="E571">
        <v>14</v>
      </c>
      <c r="F571">
        <v>2</v>
      </c>
      <c r="G571">
        <v>1</v>
      </c>
      <c r="H571" s="1">
        <v>4.2129629629629626E-3</v>
      </c>
      <c r="I571" t="s">
        <v>66</v>
      </c>
      <c r="J571" t="s">
        <v>59</v>
      </c>
      <c r="K571" s="2" t="str">
        <f>HYPERLINK("https://www.nba.com/stats/events?CFID=&amp;CFPARAMS=&amp;GameEventID=64&amp;GameID=0042000175&amp;Season=2020-21&amp;flag=1&amp;title=P.%20George%2027'%203PT%20%20(6%20PTS)%20(K.%20Leonard%201%20AST)", "P. George 27' 3PT  (6 PTS) (K. Leonard 1 AST)")</f>
        <v>P. George 27' 3PT  (6 PTS) (K. Leonard 1 AST)</v>
      </c>
      <c r="L571" s="2" t="str">
        <f>HYPERLINK("https://www.nba.com/game/...-vs-...-0042000175/play-by-play?watchFullGame=true", "LAC vs DAL - Q1 06:04.00")</f>
        <v>LAC vs DAL - Q1 06:04.00</v>
      </c>
      <c r="M571">
        <v>27.86</v>
      </c>
      <c r="N571">
        <v>67.760000000000005</v>
      </c>
      <c r="O571">
        <v>74.33</v>
      </c>
      <c r="P571">
        <v>67</v>
      </c>
      <c r="Q571">
        <v>74</v>
      </c>
      <c r="R571">
        <v>67</v>
      </c>
      <c r="S571">
        <v>74</v>
      </c>
      <c r="T571" t="s">
        <v>58</v>
      </c>
    </row>
    <row r="572" spans="1:20" x14ac:dyDescent="0.25">
      <c r="A572">
        <v>21900090</v>
      </c>
      <c r="B572" t="s">
        <v>10</v>
      </c>
      <c r="C572" t="s">
        <v>61</v>
      </c>
      <c r="D572">
        <v>94</v>
      </c>
      <c r="E572">
        <v>90</v>
      </c>
      <c r="F572">
        <v>4</v>
      </c>
      <c r="G572">
        <v>4</v>
      </c>
      <c r="H572" s="1">
        <v>1.9328703703703704E-3</v>
      </c>
      <c r="I572">
        <v>2019</v>
      </c>
      <c r="J572" t="s">
        <v>59</v>
      </c>
      <c r="K572" s="2" t="str">
        <f>HYPERLINK("https://www.nba.com/stats/events?CFID=&amp;CFPARAMS=&amp;GameEventID=645&amp;GameID=0021900090&amp;Season=2019-20&amp;flag=1&amp;title=[LAC]%20Green%203pt%20shot:%20Made%20(10%20PTS)%20assist:%20Leonard%20(3%20AST)", "[LAC] Green 3pt shot: Made (10 PTS) assist: Leonard (3 AST)")</f>
        <v>[LAC] Green 3pt shot: Made (10 PTS) assist: Leonard (3 AST)</v>
      </c>
      <c r="L572" s="2" t="str">
        <f>HYPERLINK("https://www.nba.com/game/...-vs-...-0021900090/play-by-play?watchFullGame=true", "LAC vs UTA - Q4 02:47.00")</f>
        <v>LAC vs UTA - Q4 02:47.00</v>
      </c>
      <c r="M572">
        <v>25.66</v>
      </c>
      <c r="N572">
        <v>68.12</v>
      </c>
      <c r="O572">
        <v>41.11</v>
      </c>
      <c r="P572">
        <v>-44</v>
      </c>
      <c r="Q572">
        <v>247</v>
      </c>
      <c r="R572">
        <v>68</v>
      </c>
      <c r="S572">
        <v>41</v>
      </c>
      <c r="T572" t="s">
        <v>58</v>
      </c>
    </row>
    <row r="573" spans="1:20" x14ac:dyDescent="0.25">
      <c r="A573">
        <v>22200745</v>
      </c>
      <c r="B573" t="s">
        <v>10</v>
      </c>
      <c r="C573" t="s">
        <v>9</v>
      </c>
      <c r="D573">
        <v>7</v>
      </c>
      <c r="E573">
        <v>4</v>
      </c>
      <c r="F573">
        <v>3</v>
      </c>
      <c r="G573">
        <v>1</v>
      </c>
      <c r="H573" s="1">
        <v>6.1805555555555555E-3</v>
      </c>
      <c r="I573">
        <v>2022</v>
      </c>
      <c r="J573" t="s">
        <v>59</v>
      </c>
      <c r="K573" s="2" t="str">
        <f>HYPERLINK("https://www.nba.com/stats/events?CFID=&amp;CFPARAMS=&amp;GameEventID=34&amp;GameID=0022200745&amp;Season=2022-23&amp;flag=1&amp;title=P.%20George%2026'%203PT%20%20(3%20PTS)%20(K.%20Leonard%201%20AST)", "P. George 26' 3PT  (3 PTS) (K. Leonard 1 AST)")</f>
        <v>P. George 26' 3PT  (3 PTS) (K. Leonard 1 AST)</v>
      </c>
      <c r="L573" s="2" t="str">
        <f>HYPERLINK("https://www.nba.com/game/...-vs-...-0022200745/play-by-play?watchFullGame=true", "LAC vs ATL - Q1 08:54.00")</f>
        <v>LAC vs ATL - Q1 08:54.00</v>
      </c>
      <c r="M573">
        <v>26.59</v>
      </c>
      <c r="N573">
        <v>68.02</v>
      </c>
      <c r="O573">
        <v>69.12</v>
      </c>
      <c r="P573">
        <v>96</v>
      </c>
      <c r="Q573">
        <v>248</v>
      </c>
      <c r="R573">
        <v>68</v>
      </c>
      <c r="S573">
        <v>69</v>
      </c>
      <c r="T573" t="s">
        <v>58</v>
      </c>
    </row>
    <row r="574" spans="1:20" x14ac:dyDescent="0.25">
      <c r="A574">
        <v>22200766</v>
      </c>
      <c r="B574" t="s">
        <v>10</v>
      </c>
      <c r="C574" t="s">
        <v>9</v>
      </c>
      <c r="D574">
        <v>99</v>
      </c>
      <c r="E574">
        <v>91</v>
      </c>
      <c r="F574">
        <v>8</v>
      </c>
      <c r="G574">
        <v>4</v>
      </c>
      <c r="H574" s="1">
        <v>4.6064814814814814E-3</v>
      </c>
      <c r="I574">
        <v>2022</v>
      </c>
      <c r="J574" t="s">
        <v>59</v>
      </c>
      <c r="K574" s="2" t="str">
        <f>HYPERLINK("https://www.nba.com/stats/events?CFID=&amp;CFPARAMS=&amp;GameEventID=556&amp;GameID=0022200766&amp;Season=2022-23&amp;flag=1&amp;title=N.%20Batum%2025'%203PT%20%20(6%20PTS)%20(K.%20Leonard%205%20AST)", "N. Batum 25' 3PT  (6 PTS) (K. Leonard 5 AST)")</f>
        <v>N. Batum 25' 3PT  (6 PTS) (K. Leonard 5 AST)</v>
      </c>
      <c r="L574" s="2" t="str">
        <f>HYPERLINK("https://www.nba.com/game/...-vs-...-0022200766/play-by-play?watchFullGame=true", "LAC vs CHI - Q4 06:38.00")</f>
        <v>LAC vs CHI - Q4 06:38.00</v>
      </c>
      <c r="M574">
        <v>25.39</v>
      </c>
      <c r="N574">
        <v>68.680000000000007</v>
      </c>
      <c r="O574">
        <v>34.56</v>
      </c>
      <c r="P574">
        <v>-77</v>
      </c>
      <c r="Q574">
        <v>242</v>
      </c>
      <c r="R574">
        <v>68</v>
      </c>
      <c r="S574">
        <v>34</v>
      </c>
      <c r="T574" t="s">
        <v>58</v>
      </c>
    </row>
    <row r="575" spans="1:20" x14ac:dyDescent="0.25">
      <c r="A575">
        <v>22000188</v>
      </c>
      <c r="B575" t="s">
        <v>10</v>
      </c>
      <c r="C575" t="s">
        <v>9</v>
      </c>
      <c r="D575">
        <v>69</v>
      </c>
      <c r="E575">
        <v>59</v>
      </c>
      <c r="F575">
        <v>10</v>
      </c>
      <c r="G575">
        <v>2</v>
      </c>
      <c r="H575" s="1">
        <v>6.4236111111111113E-4</v>
      </c>
      <c r="I575">
        <v>2020</v>
      </c>
      <c r="J575" t="s">
        <v>59</v>
      </c>
      <c r="K575" s="2" t="str">
        <f>HYPERLINK("https://www.nba.com/stats/events?CFID=&amp;CFPARAMS=&amp;GameEventID=301&amp;GameID=0022000188&amp;Season=2020-21&amp;flag=1&amp;title=P.%20George%2026'%203PT%20%20(20%20PTS)%20(K.%20Leonard%205%20AST)", "P. George 26' 3PT  (20 PTS) (K. Leonard 5 AST)")</f>
        <v>P. George 26' 3PT  (20 PTS) (K. Leonard 5 AST)</v>
      </c>
      <c r="L575" s="2" t="str">
        <f>HYPERLINK("https://www.nba.com/game/...-vs-...-0022000188/play-by-play?watchFullGame=true", "LAC vs SAC - Q2 00:55.50")</f>
        <v>LAC vs SAC - Q2 00:55.50</v>
      </c>
      <c r="M575">
        <v>26.4</v>
      </c>
      <c r="N575">
        <v>68.150000000000006</v>
      </c>
      <c r="O575">
        <v>68.7</v>
      </c>
      <c r="P575">
        <v>93</v>
      </c>
      <c r="Q575">
        <v>247</v>
      </c>
      <c r="R575">
        <v>68</v>
      </c>
      <c r="S575">
        <v>68</v>
      </c>
      <c r="T575" t="s">
        <v>58</v>
      </c>
    </row>
    <row r="576" spans="1:20" x14ac:dyDescent="0.25">
      <c r="A576">
        <v>22301215</v>
      </c>
      <c r="B576" t="s">
        <v>10</v>
      </c>
      <c r="C576" t="s">
        <v>9</v>
      </c>
      <c r="D576">
        <v>60</v>
      </c>
      <c r="E576">
        <v>52</v>
      </c>
      <c r="F576">
        <v>8</v>
      </c>
      <c r="G576">
        <v>2</v>
      </c>
      <c r="H576" s="1">
        <v>7.407407407407407E-4</v>
      </c>
      <c r="I576">
        <v>2023</v>
      </c>
      <c r="J576" t="s">
        <v>59</v>
      </c>
      <c r="K576" s="2" t="str">
        <f>HYPERLINK("https://www.nba.com/stats/events?CFID=&amp;CFPARAMS=&amp;GameEventID=304&amp;GameID=0022301215&amp;Season=2023-24&amp;flag=1&amp;title=J.%20Harden%2027'%203PT%20%20(10%20PTS)%20(K.%20Leonard%204%20AST)", "J. Harden 27' 3PT  (10 PTS) (K. Leonard 4 AST)")</f>
        <v>J. Harden 27' 3PT  (10 PTS) (K. Leonard 4 AST)</v>
      </c>
      <c r="L576" s="2" t="str">
        <f>HYPERLINK("https://www.nba.com/game/...-vs-...-0022301215/play-by-play?watchFullGame=true", "LAC vs DEN - Q2 01:04.00")</f>
        <v>LAC vs DEN - Q2 01:04.00</v>
      </c>
      <c r="M576">
        <v>27.26</v>
      </c>
      <c r="N576">
        <v>68.510000000000005</v>
      </c>
      <c r="O576">
        <v>25.49</v>
      </c>
      <c r="P576">
        <v>-123</v>
      </c>
      <c r="Q576">
        <v>243</v>
      </c>
      <c r="R576">
        <v>68</v>
      </c>
      <c r="S576">
        <v>25</v>
      </c>
      <c r="T576" t="s">
        <v>58</v>
      </c>
    </row>
    <row r="577" spans="1:20" x14ac:dyDescent="0.25">
      <c r="A577">
        <v>21900653</v>
      </c>
      <c r="B577" t="s">
        <v>10</v>
      </c>
      <c r="C577" t="s">
        <v>61</v>
      </c>
      <c r="D577">
        <v>105</v>
      </c>
      <c r="E577">
        <v>98</v>
      </c>
      <c r="F577">
        <v>7</v>
      </c>
      <c r="G577">
        <v>4</v>
      </c>
      <c r="H577" s="1">
        <v>1.1921296296296296E-3</v>
      </c>
      <c r="I577">
        <v>2019</v>
      </c>
      <c r="J577" t="s">
        <v>59</v>
      </c>
      <c r="K577" s="2" t="str">
        <f>HYPERLINK("https://www.nba.com/stats/events?CFID=&amp;CFPARAMS=&amp;GameEventID=672&amp;GameID=0021900653&amp;Season=2019-20&amp;flag=1&amp;title=L.%20Shamet%2026'%203PT%20%20(18%20PTS)%20(K.%20Leonard%202%20AST)", "L. Shamet 26' 3PT  (18 PTS) (K. Leonard 2 AST)")</f>
        <v>L. Shamet 26' 3PT  (18 PTS) (K. Leonard 2 AST)</v>
      </c>
      <c r="L577" s="2" t="str">
        <f>HYPERLINK("https://www.nba.com/game/...-vs-...-0021900653/play-by-play?watchFullGame=true", "LAC vs DAL - Q4 01:43.00")</f>
        <v>LAC vs DAL - Q4 01:43.00</v>
      </c>
      <c r="M577">
        <v>25.82</v>
      </c>
      <c r="N577">
        <v>68.28</v>
      </c>
      <c r="O577">
        <v>38.06</v>
      </c>
      <c r="P577">
        <v>-60</v>
      </c>
      <c r="Q577">
        <v>246</v>
      </c>
      <c r="R577">
        <v>68</v>
      </c>
      <c r="S577">
        <v>38</v>
      </c>
      <c r="T577" t="s">
        <v>58</v>
      </c>
    </row>
    <row r="578" spans="1:20" x14ac:dyDescent="0.25">
      <c r="A578">
        <v>22200509</v>
      </c>
      <c r="B578" t="s">
        <v>10</v>
      </c>
      <c r="C578" t="s">
        <v>9</v>
      </c>
      <c r="D578">
        <v>54</v>
      </c>
      <c r="E578">
        <v>53</v>
      </c>
      <c r="F578">
        <v>1</v>
      </c>
      <c r="G578">
        <v>2</v>
      </c>
      <c r="H578" s="1">
        <v>1.261574074074074E-3</v>
      </c>
      <c r="I578">
        <v>2022</v>
      </c>
      <c r="J578" t="s">
        <v>59</v>
      </c>
      <c r="K578" s="2" t="str">
        <f>HYPERLINK("https://www.nba.com/stats/events?CFID=&amp;CFPARAMS=&amp;GameEventID=280&amp;GameID=0022200509&amp;Season=2022-23&amp;flag=1&amp;title=N.%20Powell%2026'%203PT%20%20(9%20PTS)%20(K.%20Leonard%203%20AST)", "N. Powell 26' 3PT  (9 PTS) (K. Leonard 3 AST)")</f>
        <v>N. Powell 26' 3PT  (9 PTS) (K. Leonard 3 AST)</v>
      </c>
      <c r="L578" s="2" t="str">
        <f>HYPERLINK("https://www.nba.com/game/...-vs-...-0022200509/play-by-play?watchFullGame=true", "LAC vs TOR - Q2 01:49.00")</f>
        <v>LAC vs TOR - Q2 01:49.00</v>
      </c>
      <c r="M578">
        <v>26.45</v>
      </c>
      <c r="N578">
        <v>68.28</v>
      </c>
      <c r="O578">
        <v>69.61</v>
      </c>
      <c r="P578">
        <v>98</v>
      </c>
      <c r="Q578">
        <v>246</v>
      </c>
      <c r="R578">
        <v>68</v>
      </c>
      <c r="S578">
        <v>69</v>
      </c>
      <c r="T578" t="s">
        <v>58</v>
      </c>
    </row>
    <row r="579" spans="1:20" x14ac:dyDescent="0.25">
      <c r="A579">
        <v>22301028</v>
      </c>
      <c r="B579" t="s">
        <v>10</v>
      </c>
      <c r="C579" t="s">
        <v>9</v>
      </c>
      <c r="D579">
        <v>21</v>
      </c>
      <c r="E579">
        <v>27</v>
      </c>
      <c r="F579">
        <v>6</v>
      </c>
      <c r="G579">
        <v>1</v>
      </c>
      <c r="H579" s="1">
        <v>2.1759259259259258E-3</v>
      </c>
      <c r="I579">
        <v>2023</v>
      </c>
      <c r="J579" t="s">
        <v>59</v>
      </c>
      <c r="K579" s="2" t="str">
        <f>HYPERLINK("https://www.nba.com/stats/events?CFID=&amp;CFPARAMS=&amp;GameEventID=101&amp;GameID=0022301028&amp;Season=2023-24&amp;flag=1&amp;title=T.%20Mann%2026'%203PT%20%20(6%20PTS)%20(K.%20Leonard%201%20AST)", "T. Mann 26' 3PT  (6 PTS) (K. Leonard 1 AST)")</f>
        <v>T. Mann 26' 3PT  (6 PTS) (K. Leonard 1 AST)</v>
      </c>
      <c r="L579" s="2" t="str">
        <f>HYPERLINK("https://www.nba.com/game/...-vs-...-0022301028/play-by-play?watchFullGame=true", "LAC vs PHI - Q1 03:08.00")</f>
        <v>LAC vs PHI - Q1 03:08.00</v>
      </c>
      <c r="M579">
        <v>26.64</v>
      </c>
      <c r="N579">
        <v>68.38</v>
      </c>
      <c r="O579">
        <v>71.08</v>
      </c>
      <c r="P579">
        <v>105</v>
      </c>
      <c r="Q579">
        <v>245</v>
      </c>
      <c r="R579">
        <v>68</v>
      </c>
      <c r="S579">
        <v>71</v>
      </c>
      <c r="T579" t="s">
        <v>58</v>
      </c>
    </row>
    <row r="580" spans="1:20" x14ac:dyDescent="0.25">
      <c r="A580">
        <v>21900035</v>
      </c>
      <c r="B580" t="s">
        <v>10</v>
      </c>
      <c r="C580" t="s">
        <v>61</v>
      </c>
      <c r="D580">
        <v>60</v>
      </c>
      <c r="E580">
        <v>62</v>
      </c>
      <c r="F580">
        <v>2</v>
      </c>
      <c r="G580">
        <v>3</v>
      </c>
      <c r="H580" s="1">
        <v>6.5972222222222222E-3</v>
      </c>
      <c r="I580">
        <v>2019</v>
      </c>
      <c r="J580" t="s">
        <v>59</v>
      </c>
      <c r="K580" s="2" t="str">
        <f>HYPERLINK("https://www.nba.com/stats/events?CFID=&amp;CFPARAMS=&amp;GameEventID=420&amp;GameID=0021900035&amp;Season=2019-20&amp;flag=1&amp;title=[LAC]%20Beverley%203pt%20shot:%20Made%20(9%20PTS)%20assist:%20Leonard%20(5%20AST)", "[LAC] Beverley 3pt shot: Made (9 PTS) assist: Leonard (5 AST)")</f>
        <v>[LAC] Beverley 3pt shot: Made (9 PTS) assist: Leonard (5 AST)</v>
      </c>
      <c r="L580" s="2" t="str">
        <f>HYPERLINK("https://www.nba.com/game/...-vs-...-0021900035/play-by-play?watchFullGame=true", "LAC vs PHX - Q3 09:30.00")</f>
        <v>LAC vs PHX - Q3 09:30.00</v>
      </c>
      <c r="M580">
        <v>26.28</v>
      </c>
      <c r="N580">
        <v>68.94</v>
      </c>
      <c r="O580">
        <v>30.95</v>
      </c>
      <c r="P580">
        <v>-95</v>
      </c>
      <c r="Q580">
        <v>239</v>
      </c>
      <c r="R580">
        <v>68</v>
      </c>
      <c r="S580">
        <v>30</v>
      </c>
      <c r="T580" t="s">
        <v>58</v>
      </c>
    </row>
    <row r="581" spans="1:20" x14ac:dyDescent="0.25">
      <c r="A581">
        <v>22200239</v>
      </c>
      <c r="B581" t="s">
        <v>10</v>
      </c>
      <c r="C581" t="s">
        <v>9</v>
      </c>
      <c r="D581">
        <v>11</v>
      </c>
      <c r="E581">
        <v>5</v>
      </c>
      <c r="F581">
        <v>6</v>
      </c>
      <c r="G581">
        <v>1</v>
      </c>
      <c r="H581" s="1">
        <v>6.122685185185185E-3</v>
      </c>
      <c r="I581">
        <v>2022</v>
      </c>
      <c r="J581" t="s">
        <v>59</v>
      </c>
      <c r="K581" s="2" t="str">
        <f>HYPERLINK("https://www.nba.com/stats/events?CFID=&amp;CFPARAMS=&amp;GameEventID=36&amp;GameID=0022200239&amp;Season=2022-23&amp;flag=1&amp;title=P.%20George%2026'%203PT%20%20(5%20PTS)%20(K.%20Leonard%201%20AST)", "P. George 26' 3PT  (5 PTS) (K. Leonard 1 AST)")</f>
        <v>P. George 26' 3PT  (5 PTS) (K. Leonard 1 AST)</v>
      </c>
      <c r="L581" s="2" t="str">
        <f>HYPERLINK("https://www.nba.com/game/...-vs-...-0022200239/play-by-play?watchFullGame=true", "LAC vs SAS - Q1 08:49.00")</f>
        <v>LAC vs SAS - Q1 08:49.00</v>
      </c>
      <c r="M581">
        <v>26.09</v>
      </c>
      <c r="N581">
        <v>68.12</v>
      </c>
      <c r="O581">
        <v>33.33</v>
      </c>
      <c r="P581">
        <v>-83</v>
      </c>
      <c r="Q581">
        <v>247</v>
      </c>
      <c r="R581">
        <v>68</v>
      </c>
      <c r="S581">
        <v>33</v>
      </c>
      <c r="T581" t="s">
        <v>58</v>
      </c>
    </row>
    <row r="582" spans="1:20" x14ac:dyDescent="0.25">
      <c r="A582">
        <v>22200509</v>
      </c>
      <c r="B582" t="s">
        <v>10</v>
      </c>
      <c r="C582" t="s">
        <v>9</v>
      </c>
      <c r="D582">
        <v>11</v>
      </c>
      <c r="E582">
        <v>9</v>
      </c>
      <c r="F582">
        <v>2</v>
      </c>
      <c r="G582">
        <v>1</v>
      </c>
      <c r="H582" s="1">
        <v>5.4398148148148149E-3</v>
      </c>
      <c r="I582">
        <v>2022</v>
      </c>
      <c r="J582" t="s">
        <v>59</v>
      </c>
      <c r="K582" s="2" t="str">
        <f>HYPERLINK("https://www.nba.com/stats/events?CFID=&amp;CFPARAMS=&amp;GameEventID=46&amp;GameID=0022200509&amp;Season=2022-23&amp;flag=1&amp;title=P.%20George%2028'%203PT%20running%20(6%20PTS)%20(K.%20Leonard%202%20AST)", "P. George 28' 3PT running (6 PTS) (K. Leonard 2 AST)")</f>
        <v>P. George 28' 3PT running (6 PTS) (K. Leonard 2 AST)</v>
      </c>
      <c r="L582" s="2" t="str">
        <f>HYPERLINK("https://www.nba.com/game/...-vs-...-0022200509/play-by-play?watchFullGame=true", "LAC vs TOR - Q1 07:50.00")</f>
        <v>LAC vs TOR - Q1 07:50.00</v>
      </c>
      <c r="M582">
        <v>28.53</v>
      </c>
      <c r="N582">
        <v>68.02</v>
      </c>
      <c r="O582">
        <v>21.81</v>
      </c>
      <c r="P582">
        <v>-141</v>
      </c>
      <c r="Q582">
        <v>248</v>
      </c>
      <c r="R582">
        <v>68</v>
      </c>
      <c r="S582">
        <v>21</v>
      </c>
      <c r="T582" t="s">
        <v>58</v>
      </c>
    </row>
    <row r="583" spans="1:20" x14ac:dyDescent="0.25">
      <c r="A583">
        <v>22201041</v>
      </c>
      <c r="B583" t="s">
        <v>10</v>
      </c>
      <c r="C583" t="s">
        <v>9</v>
      </c>
      <c r="D583">
        <v>99</v>
      </c>
      <c r="E583">
        <v>91</v>
      </c>
      <c r="F583">
        <v>8</v>
      </c>
      <c r="G583">
        <v>3</v>
      </c>
      <c r="H583" s="1">
        <v>1.9328703703703703E-4</v>
      </c>
      <c r="I583">
        <v>2022</v>
      </c>
      <c r="J583" t="s">
        <v>59</v>
      </c>
      <c r="K583" s="2" t="str">
        <f>HYPERLINK("https://www.nba.com/stats/events?CFID=&amp;CFPARAMS=&amp;GameEventID=470&amp;GameID=0022201041&amp;Season=2022-23&amp;flag=1&amp;title=E.%20Gordon%2026'%203PT%20%20(14%20PTS)%20(K.%20Leonard%204%20AST)", "E. Gordon 26' 3PT  (14 PTS) (K. Leonard 4 AST)")</f>
        <v>E. Gordon 26' 3PT  (14 PTS) (K. Leonard 4 AST)</v>
      </c>
      <c r="L583" s="2" t="str">
        <f>HYPERLINK("https://www.nba.com/game/...-vs-...-0022201041/play-by-play?watchFullGame=true", "LAC vs GSW - Q3 00:16.70")</f>
        <v>LAC vs GSW - Q3 00:16.70</v>
      </c>
      <c r="M583">
        <v>26.98</v>
      </c>
      <c r="N583">
        <v>68.77</v>
      </c>
      <c r="O583">
        <v>25.74</v>
      </c>
      <c r="P583">
        <v>-121</v>
      </c>
      <c r="Q583">
        <v>241</v>
      </c>
      <c r="R583">
        <v>68</v>
      </c>
      <c r="S583">
        <v>25</v>
      </c>
      <c r="T583" t="s">
        <v>58</v>
      </c>
    </row>
    <row r="584" spans="1:20" x14ac:dyDescent="0.25">
      <c r="A584">
        <v>22200885</v>
      </c>
      <c r="B584" t="s">
        <v>10</v>
      </c>
      <c r="C584" t="s">
        <v>9</v>
      </c>
      <c r="D584">
        <v>52</v>
      </c>
      <c r="E584">
        <v>50</v>
      </c>
      <c r="F584">
        <v>2</v>
      </c>
      <c r="G584">
        <v>2</v>
      </c>
      <c r="H584" s="1">
        <v>1.6666666666666668E-3</v>
      </c>
      <c r="I584">
        <v>2022</v>
      </c>
      <c r="J584" t="s">
        <v>59</v>
      </c>
      <c r="K584" s="2" t="str">
        <f>HYPERLINK("https://www.nba.com/stats/events?CFID=&amp;CFPARAMS=&amp;GameEventID=307&amp;GameID=0022200885&amp;Season=2022-23&amp;flag=1&amp;title=N.%20Batum%2026'%203PT%20%20(3%20PTS)%20(K.%20Leonard%202%20AST)", "N. Batum 26' 3PT  (3 PTS) (K. Leonard 2 AST)")</f>
        <v>N. Batum 26' 3PT  (3 PTS) (K. Leonard 2 AST)</v>
      </c>
      <c r="L584" s="2" t="str">
        <f>HYPERLINK("https://www.nba.com/game/...-vs-...-0022200885/play-by-play?watchFullGame=true", "LAC vs PHX - Q2 02:24.00")</f>
        <v>LAC vs PHX - Q2 02:24.00</v>
      </c>
      <c r="M584">
        <v>26.26</v>
      </c>
      <c r="N584">
        <v>68.94</v>
      </c>
      <c r="O584">
        <v>28.43</v>
      </c>
      <c r="P584">
        <v>-108</v>
      </c>
      <c r="Q584">
        <v>239</v>
      </c>
      <c r="R584">
        <v>68</v>
      </c>
      <c r="S584">
        <v>28</v>
      </c>
      <c r="T584" t="s">
        <v>58</v>
      </c>
    </row>
    <row r="585" spans="1:20" x14ac:dyDescent="0.25">
      <c r="A585">
        <v>22000387</v>
      </c>
      <c r="B585" t="s">
        <v>10</v>
      </c>
      <c r="C585" t="s">
        <v>9</v>
      </c>
      <c r="D585">
        <v>34</v>
      </c>
      <c r="E585">
        <v>44</v>
      </c>
      <c r="F585">
        <v>10</v>
      </c>
      <c r="G585">
        <v>2</v>
      </c>
      <c r="H585" s="1">
        <v>4.3518518518518515E-3</v>
      </c>
      <c r="I585">
        <v>2020</v>
      </c>
      <c r="J585" t="s">
        <v>59</v>
      </c>
      <c r="K585" s="2" t="str">
        <f>HYPERLINK("https://www.nba.com/stats/events?CFID=&amp;CFPARAMS=&amp;GameEventID=253&amp;GameID=0022000387&amp;Season=2020-21&amp;flag=1&amp;title=N.%20Batum%2025'%203PT%20%20(3%20PTS)%20(K.%20Leonard%201%20AST)", "N. Batum 25' 3PT  (3 PTS) (K. Leonard 1 AST)")</f>
        <v>N. Batum 25' 3PT  (3 PTS) (K. Leonard 1 AST)</v>
      </c>
      <c r="L585" s="2" t="str">
        <f>HYPERLINK("https://www.nba.com/game/...-vs-...-0022000387/play-by-play?watchFullGame=true", "LAC vs MIN - Q2 06:16.00")</f>
        <v>LAC vs MIN - Q2 06:16.00</v>
      </c>
      <c r="M585">
        <v>25.96</v>
      </c>
      <c r="N585">
        <v>68.41</v>
      </c>
      <c r="O585">
        <v>67.47</v>
      </c>
      <c r="P585">
        <v>87</v>
      </c>
      <c r="Q585">
        <v>244</v>
      </c>
      <c r="R585">
        <v>68</v>
      </c>
      <c r="S585">
        <v>67</v>
      </c>
      <c r="T585" t="s">
        <v>58</v>
      </c>
    </row>
    <row r="586" spans="1:20" x14ac:dyDescent="0.25">
      <c r="A586">
        <v>22300264</v>
      </c>
      <c r="B586" t="s">
        <v>10</v>
      </c>
      <c r="C586" t="s">
        <v>9</v>
      </c>
      <c r="D586">
        <v>77</v>
      </c>
      <c r="E586">
        <v>52</v>
      </c>
      <c r="F586">
        <v>25</v>
      </c>
      <c r="G586">
        <v>3</v>
      </c>
      <c r="H586" s="1">
        <v>7.6504629629629631E-3</v>
      </c>
      <c r="I586">
        <v>2023</v>
      </c>
      <c r="J586" t="s">
        <v>59</v>
      </c>
      <c r="K586" s="2" t="str">
        <f>HYPERLINK("https://www.nba.com/stats/events?CFID=&amp;CFPARAMS=&amp;GameEventID=362&amp;GameID=0022300264&amp;Season=2023-24&amp;flag=1&amp;title=J.%20Harden%2025'%203PT%20%20(22%20PTS)%20(K.%20Leonard%203%20AST)", "J. Harden 25' 3PT  (22 PTS) (K. Leonard 3 AST)")</f>
        <v>J. Harden 25' 3PT  (22 PTS) (K. Leonard 3 AST)</v>
      </c>
      <c r="L586" s="2" t="str">
        <f>HYPERLINK("https://www.nba.com/game/...-vs-...-0022300264/play-by-play?watchFullGame=true", "LAC vs SAC - Q3 11:01.00")</f>
        <v>LAC vs SAC - Q3 11:01.00</v>
      </c>
      <c r="M586">
        <v>25.32</v>
      </c>
      <c r="N586">
        <v>68.28</v>
      </c>
      <c r="O586">
        <v>62.25</v>
      </c>
      <c r="P586">
        <v>61</v>
      </c>
      <c r="Q586">
        <v>246</v>
      </c>
      <c r="R586">
        <v>68</v>
      </c>
      <c r="S586">
        <v>62</v>
      </c>
      <c r="T586" t="s">
        <v>58</v>
      </c>
    </row>
    <row r="587" spans="1:20" x14ac:dyDescent="0.25">
      <c r="A587">
        <v>42300172</v>
      </c>
      <c r="B587" t="s">
        <v>10</v>
      </c>
      <c r="C587" t="s">
        <v>9</v>
      </c>
      <c r="D587">
        <v>26</v>
      </c>
      <c r="E587">
        <v>25</v>
      </c>
      <c r="F587">
        <v>1</v>
      </c>
      <c r="G587">
        <v>2</v>
      </c>
      <c r="H587" s="1">
        <v>6.6550925925925927E-3</v>
      </c>
      <c r="I587" t="s">
        <v>72</v>
      </c>
      <c r="J587" t="s">
        <v>59</v>
      </c>
      <c r="K587" s="2" t="str">
        <f>HYPERLINK("https://www.nba.com/stats/events?CFID=&amp;CFPARAMS=&amp;GameEventID=209&amp;GameID=0042300172&amp;Season=2023-24&amp;flag=1&amp;title=N.%20Powell%2027'%203PT%20%20(3%20PTS)%20(K.%20Leonard%201%20AST)", "N. Powell 27' 3PT  (3 PTS) (K. Leonard 1 AST)")</f>
        <v>N. Powell 27' 3PT  (3 PTS) (K. Leonard 1 AST)</v>
      </c>
      <c r="L587" s="2" t="str">
        <f>HYPERLINK("https://www.nba.com/game/...-vs-...-0042300172/play-by-play?watchFullGame=true", "LAC vs DAL - Q2 09:35.00")</f>
        <v>LAC vs DAL - Q2 09:35.00</v>
      </c>
      <c r="M587">
        <v>27.67</v>
      </c>
      <c r="N587">
        <v>68.77</v>
      </c>
      <c r="O587">
        <v>22.79</v>
      </c>
      <c r="P587">
        <v>68</v>
      </c>
      <c r="Q587">
        <v>22</v>
      </c>
      <c r="R587">
        <v>68</v>
      </c>
      <c r="S587">
        <v>22</v>
      </c>
      <c r="T587" t="s">
        <v>58</v>
      </c>
    </row>
    <row r="588" spans="1:20" x14ac:dyDescent="0.25">
      <c r="A588">
        <v>22200871</v>
      </c>
      <c r="B588" t="s">
        <v>10</v>
      </c>
      <c r="C588" t="s">
        <v>9</v>
      </c>
      <c r="D588">
        <v>57</v>
      </c>
      <c r="E588">
        <v>59</v>
      </c>
      <c r="F588">
        <v>2</v>
      </c>
      <c r="G588">
        <v>2</v>
      </c>
      <c r="H588" s="1">
        <v>1.4236111111111112E-3</v>
      </c>
      <c r="I588">
        <v>2022</v>
      </c>
      <c r="J588" t="s">
        <v>59</v>
      </c>
      <c r="K588" s="2" t="str">
        <f>HYPERLINK("https://www.nba.com/stats/events?CFID=&amp;CFPARAMS=&amp;GameEventID=294&amp;GameID=0022200871&amp;Season=2022-23&amp;flag=1&amp;title=M.%20Morris%20Sr.%2024'%203PT%20%20(3%20PTS)%20(K.%20Leonard%203%20AST)", "M. Morris Sr. 24' 3PT  (3 PTS) (K. Leonard 3 AST)")</f>
        <v>M. Morris Sr. 24' 3PT  (3 PTS) (K. Leonard 3 AST)</v>
      </c>
      <c r="L588" s="2" t="str">
        <f>HYPERLINK("https://www.nba.com/game/...-vs-...-0022200871/play-by-play?watchFullGame=true", "LAC vs GSW - Q2 02:03.00")</f>
        <v>LAC vs GSW - Q2 02:03.00</v>
      </c>
      <c r="M588">
        <v>24.43</v>
      </c>
      <c r="N588">
        <v>68.510000000000005</v>
      </c>
      <c r="O588">
        <v>46.08</v>
      </c>
      <c r="P588">
        <v>-20</v>
      </c>
      <c r="Q588">
        <v>243</v>
      </c>
      <c r="R588">
        <v>68</v>
      </c>
      <c r="S588">
        <v>46</v>
      </c>
      <c r="T588" t="s">
        <v>58</v>
      </c>
    </row>
    <row r="589" spans="1:20" x14ac:dyDescent="0.25">
      <c r="A589">
        <v>22300085</v>
      </c>
      <c r="B589" t="s">
        <v>10</v>
      </c>
      <c r="C589" t="s">
        <v>9</v>
      </c>
      <c r="D589">
        <v>18</v>
      </c>
      <c r="E589">
        <v>22</v>
      </c>
      <c r="F589">
        <v>4</v>
      </c>
      <c r="G589">
        <v>1</v>
      </c>
      <c r="H589" s="1">
        <v>3.6458333333333334E-3</v>
      </c>
      <c r="I589">
        <v>2023</v>
      </c>
      <c r="J589" t="s">
        <v>59</v>
      </c>
      <c r="K589" s="2" t="str">
        <f>HYPERLINK("https://www.nba.com/stats/events?CFID=&amp;CFPARAMS=&amp;GameEventID=86&amp;GameID=0022300085&amp;Season=2023-24&amp;flag=1&amp;title=B.%20Hyland%2026'%203PT%20%20(3%20PTS)%20(K.%20Leonard%201%20AST)", "B. Hyland 26' 3PT  (3 PTS) (K. Leonard 1 AST)")</f>
        <v>B. Hyland 26' 3PT  (3 PTS) (K. Leonard 1 AST)</v>
      </c>
      <c r="L589" s="2" t="str">
        <f>HYPERLINK("https://www.nba.com/game/...-vs-...-0022300085/play-by-play?watchFullGame=true", "LAC vs UTA - Q1 05:15.00")</f>
        <v>LAC vs UTA - Q1 05:15.00</v>
      </c>
      <c r="M589">
        <v>26.79</v>
      </c>
      <c r="N589">
        <v>68.680000000000007</v>
      </c>
      <c r="O589">
        <v>73.040000000000006</v>
      </c>
      <c r="P589">
        <v>115</v>
      </c>
      <c r="Q589">
        <v>242</v>
      </c>
      <c r="R589">
        <v>68</v>
      </c>
      <c r="S589">
        <v>73</v>
      </c>
      <c r="T589" t="s">
        <v>58</v>
      </c>
    </row>
    <row r="590" spans="1:20" x14ac:dyDescent="0.25">
      <c r="A590">
        <v>22000775</v>
      </c>
      <c r="B590" t="s">
        <v>10</v>
      </c>
      <c r="C590" t="s">
        <v>9</v>
      </c>
      <c r="D590">
        <v>7</v>
      </c>
      <c r="E590">
        <v>3</v>
      </c>
      <c r="F590">
        <v>4</v>
      </c>
      <c r="G590">
        <v>1</v>
      </c>
      <c r="H590" s="1">
        <v>7.2106481481481483E-3</v>
      </c>
      <c r="I590">
        <v>2020</v>
      </c>
      <c r="J590" t="s">
        <v>59</v>
      </c>
      <c r="K590" s="2" t="str">
        <f>HYPERLINK("https://www.nba.com/stats/events?CFID=&amp;CFPARAMS=&amp;GameEventID=18&amp;GameID=0022000775&amp;Season=2020-21&amp;flag=1&amp;title=P.%20Beverley%2026'%203PT%20%20(3%20PTS)%20(K.%20Leonard%201%20AST)", "P. Beverley 26' 3PT  (3 PTS) (K. Leonard 1 AST)")</f>
        <v>P. Beverley 26' 3PT  (3 PTS) (K. Leonard 1 AST)</v>
      </c>
      <c r="L590" s="2" t="str">
        <f>HYPERLINK("https://www.nba.com/game/...-vs-...-0022000775/play-by-play?watchFullGame=true", "LAC vs POR - Q1 10:23.00")</f>
        <v>LAC vs POR - Q1 10:23.00</v>
      </c>
      <c r="M590">
        <v>26.33</v>
      </c>
      <c r="N590">
        <v>68.28</v>
      </c>
      <c r="O590">
        <v>68.94</v>
      </c>
      <c r="P590">
        <v>95</v>
      </c>
      <c r="Q590">
        <v>246</v>
      </c>
      <c r="R590">
        <v>68</v>
      </c>
      <c r="S590">
        <v>68</v>
      </c>
      <c r="T590" t="s">
        <v>58</v>
      </c>
    </row>
    <row r="591" spans="1:20" x14ac:dyDescent="0.25">
      <c r="A591">
        <v>41900237</v>
      </c>
      <c r="B591" t="s">
        <v>10</v>
      </c>
      <c r="C591" t="s">
        <v>61</v>
      </c>
      <c r="D591">
        <v>36</v>
      </c>
      <c r="E591">
        <v>27</v>
      </c>
      <c r="F591">
        <v>9</v>
      </c>
      <c r="G591">
        <v>2</v>
      </c>
      <c r="H591" s="1">
        <v>6.7013888888888887E-3</v>
      </c>
      <c r="I591" t="s">
        <v>62</v>
      </c>
      <c r="J591" t="s">
        <v>59</v>
      </c>
      <c r="K591" s="2" t="str">
        <f>HYPERLINK("https://www.nba.com/stats/events?CFID=&amp;CFPARAMS=&amp;GameEventID=184&amp;GameID=0041900237&amp;Season=2019-20&amp;flag=1&amp;title=J.%20Green%2027'%203PT%20%20(3%20PTS)%20(K.%20Leonard%202%20AST)", "J. Green 27' 3PT  (3 PTS) (K. Leonard 2 AST)")</f>
        <v>J. Green 27' 3PT  (3 PTS) (K. Leonard 2 AST)</v>
      </c>
      <c r="L591" s="2" t="str">
        <f>HYPERLINK("https://www.nba.com/game/...-vs-...-0041900237/play-by-play?watchFullGame=true", "LAC vs DEN - Q2 09:39.00")</f>
        <v>LAC vs DEN - Q2 09:39.00</v>
      </c>
      <c r="M591">
        <v>26.98</v>
      </c>
      <c r="N591">
        <v>68.540000000000006</v>
      </c>
      <c r="O591">
        <v>70.900000000000006</v>
      </c>
      <c r="P591">
        <v>105</v>
      </c>
      <c r="Q591">
        <v>243</v>
      </c>
      <c r="R591">
        <v>68</v>
      </c>
      <c r="S591">
        <v>70</v>
      </c>
      <c r="T591" t="s">
        <v>58</v>
      </c>
    </row>
    <row r="592" spans="1:20" x14ac:dyDescent="0.25">
      <c r="A592">
        <v>22300880</v>
      </c>
      <c r="B592" t="s">
        <v>10</v>
      </c>
      <c r="C592" t="s">
        <v>9</v>
      </c>
      <c r="D592">
        <v>103</v>
      </c>
      <c r="E592">
        <v>112</v>
      </c>
      <c r="F592">
        <v>9</v>
      </c>
      <c r="G592">
        <v>4</v>
      </c>
      <c r="H592" s="1">
        <v>2.3032407407407406E-4</v>
      </c>
      <c r="I592">
        <v>2023</v>
      </c>
      <c r="J592" t="s">
        <v>59</v>
      </c>
      <c r="K592" s="2" t="str">
        <f>HYPERLINK("https://www.nba.com/stats/events?CFID=&amp;CFPARAMS=&amp;GameEventID=618&amp;GameID=0022300880&amp;Season=2023-24&amp;flag=1&amp;title=P.%20George%2027'%203PT%20%20(26%20PTS)%20(K.%20Leonard%205%20AST)", "P. George 27' 3PT  (26 PTS) (K. Leonard 5 AST)")</f>
        <v>P. George 27' 3PT  (26 PTS) (K. Leonard 5 AST)</v>
      </c>
      <c r="L592" s="2" t="str">
        <f>HYPERLINK("https://www.nba.com/game/...-vs-...-0022300880/play-by-play?watchFullGame=true", "LAC vs MIL - Q4 00:19.90")</f>
        <v>LAC vs MIL - Q4 00:19.90</v>
      </c>
      <c r="M592">
        <v>27.05</v>
      </c>
      <c r="N592">
        <v>68.02</v>
      </c>
      <c r="O592">
        <v>28.43</v>
      </c>
      <c r="P592">
        <v>-108</v>
      </c>
      <c r="Q592">
        <v>248</v>
      </c>
      <c r="R592">
        <v>68</v>
      </c>
      <c r="S592">
        <v>28</v>
      </c>
      <c r="T592" t="s">
        <v>58</v>
      </c>
    </row>
    <row r="593" spans="1:20" x14ac:dyDescent="0.25">
      <c r="A593">
        <v>22200043</v>
      </c>
      <c r="B593" t="s">
        <v>10</v>
      </c>
      <c r="C593" t="s">
        <v>9</v>
      </c>
      <c r="D593">
        <v>62</v>
      </c>
      <c r="E593">
        <v>74</v>
      </c>
      <c r="F593">
        <v>12</v>
      </c>
      <c r="G593">
        <v>3</v>
      </c>
      <c r="H593" s="1">
        <v>3.6226851851851854E-3</v>
      </c>
      <c r="I593">
        <v>2022</v>
      </c>
      <c r="J593" t="s">
        <v>59</v>
      </c>
      <c r="K593" s="2" t="str">
        <f>HYPERLINK("https://www.nba.com/stats/events?CFID=&amp;CFPARAMS=&amp;GameEventID=423&amp;GameID=0022200043&amp;Season=2022-23&amp;flag=1&amp;title=R.%20Covington%2024'%203PT%20%20(3%20PTS)%20(K.%20Leonard%202%20AST)", "R. Covington 24' 3PT  (3 PTS) (K. Leonard 2 AST)")</f>
        <v>R. Covington 24' 3PT  (3 PTS) (K. Leonard 2 AST)</v>
      </c>
      <c r="L593" s="2" t="str">
        <f>HYPERLINK("https://www.nba.com/game/...-vs-...-0022200043/play-by-play?watchFullGame=true", "LAC vs PHX - Q3 05:13.00")</f>
        <v>LAC vs PHX - Q3 05:13.00</v>
      </c>
      <c r="M593">
        <v>24.65</v>
      </c>
      <c r="N593">
        <v>69.69</v>
      </c>
      <c r="O593">
        <v>66.42</v>
      </c>
      <c r="P593">
        <v>82</v>
      </c>
      <c r="Q593">
        <v>232</v>
      </c>
      <c r="R593">
        <v>69</v>
      </c>
      <c r="S593">
        <v>66</v>
      </c>
      <c r="T593" t="s">
        <v>58</v>
      </c>
    </row>
    <row r="594" spans="1:20" x14ac:dyDescent="0.25">
      <c r="A594">
        <v>22200932</v>
      </c>
      <c r="B594" t="s">
        <v>10</v>
      </c>
      <c r="C594" t="s">
        <v>9</v>
      </c>
      <c r="D594">
        <v>54</v>
      </c>
      <c r="E594">
        <v>56</v>
      </c>
      <c r="F594">
        <v>2</v>
      </c>
      <c r="G594">
        <v>2</v>
      </c>
      <c r="H594" s="1">
        <v>8.1018518518518516E-4</v>
      </c>
      <c r="I594">
        <v>2022</v>
      </c>
      <c r="J594" t="s">
        <v>59</v>
      </c>
      <c r="K594" s="2" t="str">
        <f>HYPERLINK("https://www.nba.com/stats/events?CFID=&amp;CFPARAMS=&amp;GameEventID=341&amp;GameID=0022200932&amp;Season=2022-23&amp;flag=1&amp;title=R.%20Westbrook%2027'%203PT%20bank%20(7%20PTS)%20(K.%20Leonard%203%20AST)", "R. Westbrook 27' 3PT bank (7 PTS) (K. Leonard 3 AST)")</f>
        <v>R. Westbrook 27' 3PT bank (7 PTS) (K. Leonard 3 AST)</v>
      </c>
      <c r="L594" s="2" t="str">
        <f>HYPERLINK("https://www.nba.com/game/...-vs-...-0022200932/play-by-play?watchFullGame=true", "LAC vs MIN - Q2 01:10.00")</f>
        <v>LAC vs MIN - Q2 01:10.00</v>
      </c>
      <c r="M594">
        <v>27.6</v>
      </c>
      <c r="N594">
        <v>69.17</v>
      </c>
      <c r="O594">
        <v>78.19</v>
      </c>
      <c r="P594">
        <v>141</v>
      </c>
      <c r="Q594">
        <v>237</v>
      </c>
      <c r="R594">
        <v>69</v>
      </c>
      <c r="S594">
        <v>78</v>
      </c>
      <c r="T594" t="s">
        <v>58</v>
      </c>
    </row>
    <row r="595" spans="1:20" x14ac:dyDescent="0.25">
      <c r="A595">
        <v>22001002</v>
      </c>
      <c r="B595" t="s">
        <v>10</v>
      </c>
      <c r="C595" t="s">
        <v>9</v>
      </c>
      <c r="D595">
        <v>13</v>
      </c>
      <c r="E595">
        <v>9</v>
      </c>
      <c r="F595">
        <v>4</v>
      </c>
      <c r="G595">
        <v>1</v>
      </c>
      <c r="H595" s="1">
        <v>5.2777777777777779E-3</v>
      </c>
      <c r="I595">
        <v>2020</v>
      </c>
      <c r="J595" t="s">
        <v>59</v>
      </c>
      <c r="K595" s="2" t="str">
        <f>HYPERLINK("https://www.nba.com/stats/events?CFID=&amp;CFPARAMS=&amp;GameEventID=48&amp;GameID=0022001002&amp;Season=2020-21&amp;flag=1&amp;title=R.%20Jackson%2025'%203PT%20%20(6%20PTS)%20(K.%20Leonard%202%20AST)", "R. Jackson 25' 3PT  (6 PTS) (K. Leonard 2 AST)")</f>
        <v>R. Jackson 25' 3PT  (6 PTS) (K. Leonard 2 AST)</v>
      </c>
      <c r="L595" s="2" t="str">
        <f>HYPERLINK("https://www.nba.com/game/...-vs-...-0022001002/play-by-play?watchFullGame=true", "LAC vs LAL - Q1 07:36.00")</f>
        <v>LAC vs LAL - Q1 07:36.00</v>
      </c>
      <c r="M595">
        <v>25.83</v>
      </c>
      <c r="N595">
        <v>69.459999999999994</v>
      </c>
      <c r="O595">
        <v>71.64</v>
      </c>
      <c r="P595">
        <v>108</v>
      </c>
      <c r="Q595">
        <v>235</v>
      </c>
      <c r="R595">
        <v>69</v>
      </c>
      <c r="S595">
        <v>71</v>
      </c>
      <c r="T595" t="s">
        <v>58</v>
      </c>
    </row>
    <row r="596" spans="1:20" x14ac:dyDescent="0.25">
      <c r="A596">
        <v>22300304</v>
      </c>
      <c r="B596" t="s">
        <v>10</v>
      </c>
      <c r="C596" t="s">
        <v>9</v>
      </c>
      <c r="D596">
        <v>37</v>
      </c>
      <c r="E596">
        <v>24</v>
      </c>
      <c r="F596">
        <v>13</v>
      </c>
      <c r="G596">
        <v>1</v>
      </c>
      <c r="H596" s="1">
        <v>1.1689814814814816E-3</v>
      </c>
      <c r="I596">
        <v>2023</v>
      </c>
      <c r="J596" t="s">
        <v>59</v>
      </c>
      <c r="K596" s="2" t="str">
        <f>HYPERLINK("https://www.nba.com/stats/events?CFID=&amp;CFPARAMS=&amp;GameEventID=118&amp;GameID=0022300304&amp;Season=2023-24&amp;flag=1&amp;title=N.%20Powell%2027'%203PT%20%20(3%20PTS)%20(K.%20Leonard%203%20AST)", "N. Powell 27' 3PT  (3 PTS) (K. Leonard 3 AST)")</f>
        <v>N. Powell 27' 3PT  (3 PTS) (K. Leonard 3 AST)</v>
      </c>
      <c r="L596" s="2" t="str">
        <f>HYPERLINK("https://www.nba.com/game/...-vs-...-0022300304/play-by-play?watchFullGame=true", "LAC vs POR - Q1 01:41.00")</f>
        <v>LAC vs POR - Q1 01:41.00</v>
      </c>
      <c r="M596">
        <v>27.47</v>
      </c>
      <c r="N596">
        <v>69.56</v>
      </c>
      <c r="O596">
        <v>21.08</v>
      </c>
      <c r="P596">
        <v>-145</v>
      </c>
      <c r="Q596">
        <v>234</v>
      </c>
      <c r="R596">
        <v>69</v>
      </c>
      <c r="S596">
        <v>21</v>
      </c>
      <c r="T596" t="s">
        <v>58</v>
      </c>
    </row>
    <row r="597" spans="1:20" x14ac:dyDescent="0.25">
      <c r="A597">
        <v>21901291</v>
      </c>
      <c r="B597" t="s">
        <v>10</v>
      </c>
      <c r="C597" t="s">
        <v>61</v>
      </c>
      <c r="D597">
        <v>17</v>
      </c>
      <c r="E597">
        <v>26</v>
      </c>
      <c r="F597">
        <v>9</v>
      </c>
      <c r="G597">
        <v>1</v>
      </c>
      <c r="H597" s="1">
        <v>3.5185185185185185E-3</v>
      </c>
      <c r="I597">
        <v>2019</v>
      </c>
      <c r="J597" t="s">
        <v>59</v>
      </c>
      <c r="K597" s="2" t="str">
        <f>HYPERLINK("https://www.nba.com/stats/events?CFID=&amp;CFPARAMS=&amp;GameEventID=73&amp;GameID=0021901291&amp;Season=2019-20&amp;flag=1&amp;title=J.%20Green%2028'%203PT%20%20(3%20PTS)%20(K.%20Leonard%201%20AST)", "J. Green 28' 3PT  (3 PTS) (K. Leonard 1 AST)")</f>
        <v>J. Green 28' 3PT  (3 PTS) (K. Leonard 1 AST)</v>
      </c>
      <c r="L597" s="2" t="str">
        <f>HYPERLINK("https://www.nba.com/game/...-vs-...-0021901291/play-by-play?watchFullGame=true", "LAC vs BKN - Q1 05:04.00")</f>
        <v>LAC vs BKN - Q1 05:04.00</v>
      </c>
      <c r="M597">
        <v>27.73</v>
      </c>
      <c r="N597">
        <v>69.2</v>
      </c>
      <c r="O597">
        <v>23.11</v>
      </c>
      <c r="P597">
        <v>-134</v>
      </c>
      <c r="Q597">
        <v>237</v>
      </c>
      <c r="R597">
        <v>69</v>
      </c>
      <c r="S597">
        <v>23</v>
      </c>
      <c r="T597" t="s">
        <v>58</v>
      </c>
    </row>
    <row r="598" spans="1:20" x14ac:dyDescent="0.25">
      <c r="A598">
        <v>22000251</v>
      </c>
      <c r="B598" t="s">
        <v>10</v>
      </c>
      <c r="C598" t="s">
        <v>9</v>
      </c>
      <c r="D598">
        <v>53</v>
      </c>
      <c r="E598">
        <v>39</v>
      </c>
      <c r="F598">
        <v>14</v>
      </c>
      <c r="G598">
        <v>2</v>
      </c>
      <c r="H598" s="1">
        <v>1.1458333333333333E-3</v>
      </c>
      <c r="I598">
        <v>2020</v>
      </c>
      <c r="J598" t="s">
        <v>59</v>
      </c>
      <c r="K598" s="2" t="str">
        <f>HYPERLINK("https://www.nba.com/stats/events?CFID=&amp;CFPARAMS=&amp;GameEventID=287&amp;GameID=0022000251&amp;Season=2020-21&amp;flag=1&amp;title=Ibaka%2027'%203PT%20%20(11%20PTS)%20(K.%20Leonard%204%20AST)", "S. Ibaka 27' 3PT  (11 PTS) (K. Leonard 4 AST)")</f>
        <v>S. Ibaka 27' 3PT  (11 PTS) (K. Leonard 4 AST)</v>
      </c>
      <c r="L598" s="2" t="str">
        <f>HYPERLINK("https://www.nba.com/game/...-vs-...-0022000251/play-by-play?watchFullGame=true", "LAC vs OKC - Q2 01:39.00")</f>
        <v>LAC vs OKC - Q2 01:39.00</v>
      </c>
      <c r="M598">
        <v>27.78</v>
      </c>
      <c r="N598">
        <v>69.069999999999993</v>
      </c>
      <c r="O598">
        <v>21.39</v>
      </c>
      <c r="P598">
        <v>-143</v>
      </c>
      <c r="Q598">
        <v>238</v>
      </c>
      <c r="R598">
        <v>69</v>
      </c>
      <c r="S598">
        <v>21</v>
      </c>
      <c r="T598" t="s">
        <v>58</v>
      </c>
    </row>
    <row r="599" spans="1:20" x14ac:dyDescent="0.25">
      <c r="A599">
        <v>22000717</v>
      </c>
      <c r="B599" t="s">
        <v>10</v>
      </c>
      <c r="C599" t="s">
        <v>9</v>
      </c>
      <c r="D599">
        <v>60</v>
      </c>
      <c r="E599">
        <v>57</v>
      </c>
      <c r="F599">
        <v>3</v>
      </c>
      <c r="G599">
        <v>3</v>
      </c>
      <c r="H599" s="1">
        <v>7.9398148148148145E-3</v>
      </c>
      <c r="I599">
        <v>2020</v>
      </c>
      <c r="J599" t="s">
        <v>59</v>
      </c>
      <c r="K599" s="2" t="str">
        <f>HYPERLINK("https://www.nba.com/stats/events?CFID=&amp;CFPARAMS=&amp;GameEventID=314&amp;GameID=0022000717&amp;Season=2020-21&amp;flag=1&amp;title=R.%20Jackson%2025'%203PT%20%20(8%20PTS)%20(K.%20Leonard%206%20AST)", "R. Jackson 25' 3PT  (8 PTS) (K. Leonard 6 AST)")</f>
        <v>R. Jackson 25' 3PT  (8 PTS) (K. Leonard 6 AST)</v>
      </c>
      <c r="L599" s="2" t="str">
        <f>HYPERLINK("https://www.nba.com/game/...-vs-...-0022000717/play-by-play?watchFullGame=true", "LAC vs MIL - Q3 11:26.00")</f>
        <v>LAC vs MIL - Q3 11:26.00</v>
      </c>
      <c r="M599">
        <v>25.95</v>
      </c>
      <c r="N599">
        <v>69.459999999999994</v>
      </c>
      <c r="O599">
        <v>27.77</v>
      </c>
      <c r="P599">
        <v>-111</v>
      </c>
      <c r="Q599">
        <v>235</v>
      </c>
      <c r="R599">
        <v>69</v>
      </c>
      <c r="S599">
        <v>27</v>
      </c>
      <c r="T599" t="s">
        <v>58</v>
      </c>
    </row>
    <row r="600" spans="1:20" x14ac:dyDescent="0.25">
      <c r="A600">
        <v>21900618</v>
      </c>
      <c r="B600" t="s">
        <v>10</v>
      </c>
      <c r="C600" t="s">
        <v>61</v>
      </c>
      <c r="D600">
        <v>3</v>
      </c>
      <c r="E600">
        <v>0</v>
      </c>
      <c r="F600">
        <v>3</v>
      </c>
      <c r="G600">
        <v>1</v>
      </c>
      <c r="H600" s="1">
        <v>8.1134259259259267E-3</v>
      </c>
      <c r="I600">
        <v>2019</v>
      </c>
      <c r="J600" t="s">
        <v>59</v>
      </c>
      <c r="K600" s="2" t="str">
        <f>HYPERLINK("https://www.nba.com/stats/events?CFID=&amp;CFPARAMS=&amp;GameEventID=7&amp;GameID=0021900618&amp;Season=2019-20&amp;flag=1&amp;title=P.%20Beverley%2027'%203PT%20%20(3%20PTS)%20(K.%20Leonard%201%20AST)", "P. Beverley 27' 3PT  (3 PTS) (K. Leonard 1 AST)")</f>
        <v>P. Beverley 27' 3PT  (3 PTS) (K. Leonard 1 AST)</v>
      </c>
      <c r="L600" s="2" t="str">
        <f>HYPERLINK("https://www.nba.com/game/...-vs-...-0021900618/play-by-play?watchFullGame=true", "LAC vs ORL - Q1 11:41.00")</f>
        <v>LAC vs ORL - Q1 11:41.00</v>
      </c>
      <c r="M600">
        <v>27.03</v>
      </c>
      <c r="N600">
        <v>69.69</v>
      </c>
      <c r="O600">
        <v>75.67</v>
      </c>
      <c r="P600">
        <v>128</v>
      </c>
      <c r="Q600">
        <v>232</v>
      </c>
      <c r="R600">
        <v>69</v>
      </c>
      <c r="S600">
        <v>75</v>
      </c>
      <c r="T600" t="s">
        <v>58</v>
      </c>
    </row>
    <row r="601" spans="1:20" x14ac:dyDescent="0.25">
      <c r="A601">
        <v>41900237</v>
      </c>
      <c r="B601" t="s">
        <v>10</v>
      </c>
      <c r="C601" t="s">
        <v>61</v>
      </c>
      <c r="D601">
        <v>16</v>
      </c>
      <c r="E601">
        <v>17</v>
      </c>
      <c r="F601">
        <v>1</v>
      </c>
      <c r="G601">
        <v>1</v>
      </c>
      <c r="H601" s="1">
        <v>2.1180555555555558E-3</v>
      </c>
      <c r="I601" t="s">
        <v>62</v>
      </c>
      <c r="J601" t="s">
        <v>59</v>
      </c>
      <c r="K601" s="2" t="str">
        <f>HYPERLINK("https://www.nba.com/stats/events?CFID=&amp;CFPARAMS=&amp;GameEventID=109&amp;GameID=0041900237&amp;Season=2019-20&amp;flag=1&amp;title=L.%20Shamet%2027'%203PT%20%20(3%20PTS)%20(K.%20Leonard%201%20AST)", "L. Shamet 27' 3PT  (3 PTS) (K. Leonard 1 AST)")</f>
        <v>L. Shamet 27' 3PT  (3 PTS) (K. Leonard 1 AST)</v>
      </c>
      <c r="L601" s="2" t="str">
        <f>HYPERLINK("https://www.nba.com/game/...-vs-...-0041900237/play-by-play?watchFullGame=true", "LAC vs DEN - Q1 03:03.00")</f>
        <v>LAC vs DEN - Q1 03:03.00</v>
      </c>
      <c r="M601">
        <v>27.21</v>
      </c>
      <c r="N601">
        <v>69.73</v>
      </c>
      <c r="O601">
        <v>76.540000000000006</v>
      </c>
      <c r="P601">
        <v>133</v>
      </c>
      <c r="Q601">
        <v>232</v>
      </c>
      <c r="R601">
        <v>69</v>
      </c>
      <c r="S601">
        <v>76</v>
      </c>
      <c r="T601" t="s">
        <v>58</v>
      </c>
    </row>
    <row r="602" spans="1:20" x14ac:dyDescent="0.25">
      <c r="A602">
        <v>22200766</v>
      </c>
      <c r="B602" t="s">
        <v>10</v>
      </c>
      <c r="C602" t="s">
        <v>9</v>
      </c>
      <c r="D602">
        <v>78</v>
      </c>
      <c r="E602">
        <v>82</v>
      </c>
      <c r="F602">
        <v>4</v>
      </c>
      <c r="G602">
        <v>3</v>
      </c>
      <c r="H602" s="1">
        <v>1.7824074074074075E-3</v>
      </c>
      <c r="I602">
        <v>2022</v>
      </c>
      <c r="J602" t="s">
        <v>59</v>
      </c>
      <c r="K602" s="2" t="str">
        <f>HYPERLINK("https://www.nba.com/stats/events?CFID=&amp;CFPARAMS=&amp;GameEventID=443&amp;GameID=0022200766&amp;Season=2022-23&amp;flag=1&amp;title=N.%20Batum%2025'%203PT%20pullup%20(3%20PTS)%20(K.%20Leonard%204%20AST)", "N. Batum 25' 3PT pullup (3 PTS) (K. Leonard 4 AST)")</f>
        <v>N. Batum 25' 3PT pullup (3 PTS) (K. Leonard 4 AST)</v>
      </c>
      <c r="L602" s="2" t="str">
        <f>HYPERLINK("https://www.nba.com/game/...-vs-...-0022200766/play-by-play?watchFullGame=true", "LAC vs CHI - Q3 02:34.00")</f>
        <v>LAC vs CHI - Q3 02:34.00</v>
      </c>
      <c r="M602">
        <v>25.5</v>
      </c>
      <c r="N602">
        <v>69.599999999999994</v>
      </c>
      <c r="O602">
        <v>70.59</v>
      </c>
      <c r="P602">
        <v>103</v>
      </c>
      <c r="Q602">
        <v>233</v>
      </c>
      <c r="R602">
        <v>69</v>
      </c>
      <c r="S602">
        <v>70</v>
      </c>
      <c r="T602" t="s">
        <v>58</v>
      </c>
    </row>
    <row r="603" spans="1:20" x14ac:dyDescent="0.25">
      <c r="A603">
        <v>22300553</v>
      </c>
      <c r="B603" t="s">
        <v>10</v>
      </c>
      <c r="C603" t="s">
        <v>9</v>
      </c>
      <c r="D603">
        <v>52</v>
      </c>
      <c r="E603">
        <v>59</v>
      </c>
      <c r="F603">
        <v>7</v>
      </c>
      <c r="G603">
        <v>3</v>
      </c>
      <c r="H603" s="1">
        <v>5.6018518518518518E-3</v>
      </c>
      <c r="I603">
        <v>2023</v>
      </c>
      <c r="J603" t="s">
        <v>59</v>
      </c>
      <c r="K603" s="2" t="str">
        <f>HYPERLINK("https://www.nba.com/stats/events?CFID=&amp;CFPARAMS=&amp;GameEventID=334&amp;GameID=0022300553&amp;Season=2023-24&amp;flag=1&amp;title=J.%20Harden%2025'%203PT%20%20(7%20PTS)%20(K.%20Leonard%202%20AST)", "J. Harden 25' 3PT  (7 PTS) (K. Leonard 2 AST)")</f>
        <v>J. Harden 25' 3PT  (7 PTS) (K. Leonard 2 AST)</v>
      </c>
      <c r="L603" s="2" t="str">
        <f>HYPERLINK("https://www.nba.com/game/...-vs-...-0022300553/play-by-play?watchFullGame=true", "LAC vs MIN - Q3 08:04.00")</f>
        <v>LAC vs MIN - Q3 08:04.00</v>
      </c>
      <c r="M603">
        <v>25.4</v>
      </c>
      <c r="N603">
        <v>69.33</v>
      </c>
      <c r="O603">
        <v>68.87</v>
      </c>
      <c r="P603">
        <v>94</v>
      </c>
      <c r="Q603">
        <v>236</v>
      </c>
      <c r="R603">
        <v>69</v>
      </c>
      <c r="S603">
        <v>68</v>
      </c>
      <c r="T603" t="s">
        <v>58</v>
      </c>
    </row>
    <row r="604" spans="1:20" x14ac:dyDescent="0.25">
      <c r="A604">
        <v>22300964</v>
      </c>
      <c r="B604" t="s">
        <v>10</v>
      </c>
      <c r="C604" t="s">
        <v>9</v>
      </c>
      <c r="D604">
        <v>18</v>
      </c>
      <c r="E604">
        <v>14</v>
      </c>
      <c r="F604">
        <v>4</v>
      </c>
      <c r="G604">
        <v>1</v>
      </c>
      <c r="H604" s="1">
        <v>1.724537037037037E-3</v>
      </c>
      <c r="I604">
        <v>2023</v>
      </c>
      <c r="J604" t="s">
        <v>59</v>
      </c>
      <c r="K604" s="2" t="str">
        <f>HYPERLINK("https://www.nba.com/stats/events?CFID=&amp;CFPARAMS=&amp;GameEventID=112&amp;GameID=0022300964&amp;Season=2023-24&amp;flag=1&amp;title=A.%20Coffey%2025'%203PT%20%20(3%20PTS)%20(K.%20Leonard%201%20AST)", "A. Coffey 25' 3PT  (3 PTS) (K. Leonard 1 AST)")</f>
        <v>A. Coffey 25' 3PT  (3 PTS) (K. Leonard 1 AST)</v>
      </c>
      <c r="L604" s="2" t="str">
        <f>HYPERLINK("https://www.nba.com/game/...-vs-...-0022300964/play-by-play?watchFullGame=true", "LAC vs NOP - Q1 02:29.00")</f>
        <v>LAC vs NOP - Q1 02:29.00</v>
      </c>
      <c r="M604">
        <v>25.45</v>
      </c>
      <c r="N604">
        <v>69.599999999999994</v>
      </c>
      <c r="O604">
        <v>70.34</v>
      </c>
      <c r="P604">
        <v>102</v>
      </c>
      <c r="Q604">
        <v>233</v>
      </c>
      <c r="R604">
        <v>69</v>
      </c>
      <c r="S604">
        <v>70</v>
      </c>
      <c r="T604" t="s">
        <v>58</v>
      </c>
    </row>
    <row r="605" spans="1:20" x14ac:dyDescent="0.25">
      <c r="A605">
        <v>22300537</v>
      </c>
      <c r="B605" t="s">
        <v>10</v>
      </c>
      <c r="C605" t="s">
        <v>9</v>
      </c>
      <c r="D605">
        <v>68</v>
      </c>
      <c r="E605">
        <v>53</v>
      </c>
      <c r="F605">
        <v>15</v>
      </c>
      <c r="G605">
        <v>3</v>
      </c>
      <c r="H605" s="1">
        <v>8.1712962962962963E-3</v>
      </c>
      <c r="I605">
        <v>2023</v>
      </c>
      <c r="J605" t="s">
        <v>59</v>
      </c>
      <c r="K605" s="2" t="str">
        <f>HYPERLINK("https://www.nba.com/stats/events?CFID=&amp;CFPARAMS=&amp;GameEventID=317&amp;GameID=0022300537&amp;Season=2023-24&amp;flag=1&amp;title=P.%20George%2026'%203PT%20%20(20%20PTS)%20(K.%20Leonard%204%20AST)", "P. George 26' 3PT  (20 PTS) (K. Leonard 4 AST)")</f>
        <v>P. George 26' 3PT  (20 PTS) (K. Leonard 4 AST)</v>
      </c>
      <c r="L605" s="2" t="str">
        <f>HYPERLINK("https://www.nba.com/game/...-vs-...-0022300537/play-by-play?watchFullGame=true", "LAC vs MEM - Q3 11:46.00")</f>
        <v>LAC vs MEM - Q3 11:46.00</v>
      </c>
      <c r="M605">
        <v>26.02</v>
      </c>
      <c r="N605">
        <v>69.599999999999994</v>
      </c>
      <c r="O605">
        <v>73.040000000000006</v>
      </c>
      <c r="P605">
        <v>115</v>
      </c>
      <c r="Q605">
        <v>233</v>
      </c>
      <c r="R605">
        <v>69</v>
      </c>
      <c r="S605">
        <v>73</v>
      </c>
      <c r="T605" t="s">
        <v>58</v>
      </c>
    </row>
    <row r="606" spans="1:20" x14ac:dyDescent="0.25">
      <c r="A606">
        <v>42000174</v>
      </c>
      <c r="B606" t="s">
        <v>10</v>
      </c>
      <c r="C606" t="s">
        <v>9</v>
      </c>
      <c r="D606">
        <v>3</v>
      </c>
      <c r="E606">
        <v>4</v>
      </c>
      <c r="F606">
        <v>1</v>
      </c>
      <c r="G606">
        <v>1</v>
      </c>
      <c r="H606" s="1">
        <v>6.9907407407407409E-3</v>
      </c>
      <c r="I606" t="s">
        <v>66</v>
      </c>
      <c r="J606" t="s">
        <v>59</v>
      </c>
      <c r="K606" s="2" t="str">
        <f>HYPERLINK("https://www.nba.com/stats/events?CFID=&amp;CFPARAMS=&amp;GameEventID=24&amp;GameID=0042000174&amp;Season=2020-21&amp;flag=1&amp;title=N.%20Batum%2025'%203PT%20%20(3%20PTS)%20(K.%20Leonard%201%20AST)", "N. Batum 25' 3PT  (3 PTS) (K. Leonard 1 AST)")</f>
        <v>N. Batum 25' 3PT  (3 PTS) (K. Leonard 1 AST)</v>
      </c>
      <c r="L606" s="2" t="str">
        <f>HYPERLINK("https://www.nba.com/game/...-vs-...-0042000174/play-by-play?watchFullGame=true", "LAC vs DAL - Q1 10:04.00")</f>
        <v>LAC vs DAL - Q1 10:04.00</v>
      </c>
      <c r="M606">
        <v>25.65</v>
      </c>
      <c r="N606">
        <v>69.989999999999995</v>
      </c>
      <c r="O606">
        <v>72.86</v>
      </c>
      <c r="P606">
        <v>69</v>
      </c>
      <c r="Q606">
        <v>72</v>
      </c>
      <c r="R606">
        <v>69</v>
      </c>
      <c r="S606">
        <v>72</v>
      </c>
      <c r="T606" t="s">
        <v>58</v>
      </c>
    </row>
    <row r="607" spans="1:20" x14ac:dyDescent="0.25">
      <c r="A607">
        <v>22000736</v>
      </c>
      <c r="B607" t="s">
        <v>10</v>
      </c>
      <c r="C607" t="s">
        <v>9</v>
      </c>
      <c r="D607">
        <v>44</v>
      </c>
      <c r="E607">
        <v>57</v>
      </c>
      <c r="F607">
        <v>13</v>
      </c>
      <c r="G607">
        <v>2</v>
      </c>
      <c r="H607" s="1">
        <v>1.9328703703703704E-3</v>
      </c>
      <c r="I607">
        <v>2020</v>
      </c>
      <c r="J607" t="s">
        <v>59</v>
      </c>
      <c r="K607" s="2" t="str">
        <f>HYPERLINK("https://www.nba.com/stats/events?CFID=&amp;CFPARAMS=&amp;GameEventID=260&amp;GameID=0022000736&amp;Season=2020-21&amp;flag=1&amp;title=M.%20Morris%20Sr.%2026'%203PT%20%20(8%20PTS)%20(K.%20Leonard%202%20AST)", "M. Morris Sr. 26' 3PT  (8 PTS) (K. Leonard 2 AST)")</f>
        <v>M. Morris Sr. 26' 3PT  (8 PTS) (K. Leonard 2 AST)</v>
      </c>
      <c r="L607" s="2" t="str">
        <f>HYPERLINK("https://www.nba.com/game/...-vs-...-0022000736/play-by-play?watchFullGame=true", "LAC vs DEN - Q2 02:47.00")</f>
        <v>LAC vs DEN - Q2 02:47.00</v>
      </c>
      <c r="M607">
        <v>26.89</v>
      </c>
      <c r="N607">
        <v>69.73</v>
      </c>
      <c r="O607">
        <v>22.86</v>
      </c>
      <c r="P607">
        <v>-136</v>
      </c>
      <c r="Q607">
        <v>232</v>
      </c>
      <c r="R607">
        <v>69</v>
      </c>
      <c r="S607">
        <v>22</v>
      </c>
      <c r="T607" t="s">
        <v>58</v>
      </c>
    </row>
    <row r="608" spans="1:20" x14ac:dyDescent="0.25">
      <c r="A608">
        <v>41900236</v>
      </c>
      <c r="B608" t="s">
        <v>10</v>
      </c>
      <c r="C608" t="s">
        <v>61</v>
      </c>
      <c r="D608">
        <v>71</v>
      </c>
      <c r="E608">
        <v>55</v>
      </c>
      <c r="F608">
        <v>16</v>
      </c>
      <c r="G608">
        <v>3</v>
      </c>
      <c r="H608" s="1">
        <v>6.2037037037037035E-3</v>
      </c>
      <c r="I608" t="s">
        <v>62</v>
      </c>
      <c r="J608" t="s">
        <v>59</v>
      </c>
      <c r="K608" s="2" t="str">
        <f>HYPERLINK("https://www.nba.com/stats/events?CFID=&amp;CFPARAMS=&amp;GameEventID=358&amp;GameID=0041900236&amp;Season=2019-20&amp;flag=1&amp;title=P.%20George%2027'%203PT%20%20(25%20PTS)%20(K.%20Leonard%205%20AST)", "P. George 27' 3PT  (25 PTS) (K. Leonard 5 AST)")</f>
        <v>P. George 27' 3PT  (25 PTS) (K. Leonard 5 AST)</v>
      </c>
      <c r="L608" s="2" t="str">
        <f>HYPERLINK("https://www.nba.com/game/...-vs-...-0041900236/play-by-play?watchFullGame=true", "LAC vs DEN - Q3 08:56.00")</f>
        <v>LAC vs DEN - Q3 08:56.00</v>
      </c>
      <c r="M608">
        <v>27.39</v>
      </c>
      <c r="N608">
        <v>69.989999999999995</v>
      </c>
      <c r="O608">
        <v>21.88</v>
      </c>
      <c r="P608">
        <v>-141</v>
      </c>
      <c r="Q608">
        <v>230</v>
      </c>
      <c r="R608">
        <v>69</v>
      </c>
      <c r="S608">
        <v>21</v>
      </c>
      <c r="T608" t="s">
        <v>58</v>
      </c>
    </row>
    <row r="609" spans="1:20" x14ac:dyDescent="0.25">
      <c r="A609">
        <v>22400927</v>
      </c>
      <c r="B609" t="s">
        <v>10</v>
      </c>
      <c r="C609" t="s">
        <v>9</v>
      </c>
      <c r="D609">
        <v>5</v>
      </c>
      <c r="E609">
        <v>3</v>
      </c>
      <c r="F609">
        <v>2</v>
      </c>
      <c r="G609">
        <v>1</v>
      </c>
      <c r="H609" s="1">
        <v>7.2800925925925923E-3</v>
      </c>
      <c r="I609">
        <v>2024</v>
      </c>
      <c r="J609" t="s">
        <v>59</v>
      </c>
      <c r="K609" s="2" t="str">
        <f>HYPERLINK("https://www.nba.com/stats/events?CFID=&amp;CFPARAMS=&amp;GameEventID=16&amp;GameID=0022400927&amp;Season=2024-25&amp;flag=1&amp;title=N.%20Batum%2028'%203PT%20%20(3%20PTS)%20(K.%20Leonard%201%20AST)", "N. Batum 28' 3PT  (3 PTS) (K. Leonard 1 AST)")</f>
        <v>N. Batum 28' 3PT  (3 PTS) (K. Leonard 1 AST)</v>
      </c>
      <c r="L609" s="2" t="str">
        <f>HYPERLINK("https://www.nba.com/game/...-vs-...-0022400927/play-by-play?watchFullGame=true", "LAC vs SAC - Q1 10:29.00")</f>
        <v>LAC vs SAC - Q1 10:29.00</v>
      </c>
      <c r="M609">
        <v>28.37</v>
      </c>
      <c r="N609">
        <v>69.989999999999995</v>
      </c>
      <c r="O609">
        <v>16.670000000000002</v>
      </c>
      <c r="P609">
        <v>-167</v>
      </c>
      <c r="Q609">
        <v>230</v>
      </c>
      <c r="R609">
        <v>69</v>
      </c>
      <c r="S609">
        <v>16</v>
      </c>
      <c r="T609" t="s">
        <v>58</v>
      </c>
    </row>
    <row r="610" spans="1:20" x14ac:dyDescent="0.25">
      <c r="A610">
        <v>22301215</v>
      </c>
      <c r="B610" t="s">
        <v>10</v>
      </c>
      <c r="C610" t="s">
        <v>9</v>
      </c>
      <c r="D610">
        <v>15</v>
      </c>
      <c r="E610">
        <v>25</v>
      </c>
      <c r="F610">
        <v>10</v>
      </c>
      <c r="G610">
        <v>1</v>
      </c>
      <c r="H610" s="1">
        <v>3.4027777777777776E-3</v>
      </c>
      <c r="I610">
        <v>2023</v>
      </c>
      <c r="J610" t="s">
        <v>59</v>
      </c>
      <c r="K610" s="2" t="str">
        <f>HYPERLINK("https://www.nba.com/stats/events?CFID=&amp;CFPARAMS=&amp;GameEventID=69&amp;GameID=0022301215&amp;Season=2023-24&amp;flag=1&amp;title=P.%20George%2026'%203PT%20%20(3%20PTS)%20(K.%20Leonard%202%20AST)", "P. George 26' 3PT  (3 PTS) (K. Leonard 2 AST)")</f>
        <v>P. George 26' 3PT  (3 PTS) (K. Leonard 2 AST)</v>
      </c>
      <c r="L610" s="2" t="str">
        <f>HYPERLINK("https://www.nba.com/game/...-vs-...-0022301215/play-by-play?watchFullGame=true", "LAC vs DEN - Q1 04:54.00")</f>
        <v>LAC vs DEN - Q1 04:54.00</v>
      </c>
      <c r="M610">
        <v>26.03</v>
      </c>
      <c r="N610">
        <v>69.040000000000006</v>
      </c>
      <c r="O610">
        <v>29.17</v>
      </c>
      <c r="P610">
        <v>-104</v>
      </c>
      <c r="Q610">
        <v>239</v>
      </c>
      <c r="R610">
        <v>69</v>
      </c>
      <c r="S610">
        <v>29</v>
      </c>
      <c r="T610" t="s">
        <v>58</v>
      </c>
    </row>
    <row r="611" spans="1:20" x14ac:dyDescent="0.25">
      <c r="A611">
        <v>22000501</v>
      </c>
      <c r="B611" t="s">
        <v>10</v>
      </c>
      <c r="C611" t="s">
        <v>9</v>
      </c>
      <c r="D611">
        <v>43</v>
      </c>
      <c r="E611">
        <v>48</v>
      </c>
      <c r="F611">
        <v>5</v>
      </c>
      <c r="G611">
        <v>2</v>
      </c>
      <c r="H611" s="1">
        <v>2.7893518518518519E-3</v>
      </c>
      <c r="I611">
        <v>2020</v>
      </c>
      <c r="J611" t="s">
        <v>59</v>
      </c>
      <c r="K611" s="2" t="str">
        <f>HYPERLINK("https://www.nba.com/stats/events?CFID=&amp;CFPARAMS=&amp;GameEventID=255&amp;GameID=0022000501&amp;Season=2020-21&amp;flag=1&amp;title=Ibaka%2025'%203PT%20%20(5%20PTS)%20(K.%20Leonard%204%20AST)", "S. Ibaka 25' 3PT  (5 PTS) (K. Leonard 4 AST)")</f>
        <v>S. Ibaka 25' 3PT  (5 PTS) (K. Leonard 4 AST)</v>
      </c>
      <c r="L611" s="2" t="str">
        <f>HYPERLINK("https://www.nba.com/game/...-vs-...-0022000501/play-by-play?watchFullGame=true", "LAC vs MEM - Q2 04:01.00")</f>
        <v>LAC vs MEM - Q2 04:01.00</v>
      </c>
      <c r="M611">
        <v>25.51</v>
      </c>
      <c r="N611">
        <v>70.25</v>
      </c>
      <c r="O611">
        <v>26.78</v>
      </c>
      <c r="P611">
        <v>-116</v>
      </c>
      <c r="Q611">
        <v>227</v>
      </c>
      <c r="R611">
        <v>70</v>
      </c>
      <c r="S611">
        <v>26</v>
      </c>
      <c r="T611" t="s">
        <v>58</v>
      </c>
    </row>
    <row r="612" spans="1:20" x14ac:dyDescent="0.25">
      <c r="A612">
        <v>22200480</v>
      </c>
      <c r="B612" t="s">
        <v>10</v>
      </c>
      <c r="C612" t="s">
        <v>9</v>
      </c>
      <c r="D612">
        <v>5</v>
      </c>
      <c r="E612">
        <v>2</v>
      </c>
      <c r="F612">
        <v>3</v>
      </c>
      <c r="G612">
        <v>1</v>
      </c>
      <c r="H612" s="1">
        <v>7.6041666666666671E-3</v>
      </c>
      <c r="I612">
        <v>2022</v>
      </c>
      <c r="J612" t="s">
        <v>59</v>
      </c>
      <c r="K612" s="2" t="str">
        <f>HYPERLINK("https://www.nba.com/stats/events?CFID=&amp;CFPARAMS=&amp;GameEventID=11&amp;GameID=0022200480&amp;Season=2022-23&amp;flag=1&amp;title=M.%20Morris%20Sr.%2026'%203PT%20%20(3%20PTS)%20(K.%20Leonard%201%20AST)", "M. Morris Sr. 26' 3PT  (3 PTS) (K. Leonard 1 AST)")</f>
        <v>M. Morris Sr. 26' 3PT  (3 PTS) (K. Leonard 1 AST)</v>
      </c>
      <c r="L612" s="2" t="str">
        <f>HYPERLINK("https://www.nba.com/game/...-vs-...-0022200480/play-by-play?watchFullGame=true", "LAC vs PHI - Q1 10:57.00")</f>
        <v>LAC vs PHI - Q1 10:57.00</v>
      </c>
      <c r="M612">
        <v>26.24</v>
      </c>
      <c r="N612">
        <v>70.09</v>
      </c>
      <c r="O612">
        <v>24.26</v>
      </c>
      <c r="P612">
        <v>-129</v>
      </c>
      <c r="Q612">
        <v>229</v>
      </c>
      <c r="R612">
        <v>70</v>
      </c>
      <c r="S612">
        <v>24</v>
      </c>
      <c r="T612" t="s">
        <v>58</v>
      </c>
    </row>
    <row r="613" spans="1:20" x14ac:dyDescent="0.25">
      <c r="A613">
        <v>22000867</v>
      </c>
      <c r="B613" t="s">
        <v>10</v>
      </c>
      <c r="C613" t="s">
        <v>9</v>
      </c>
      <c r="D613">
        <v>10</v>
      </c>
      <c r="E613">
        <v>5</v>
      </c>
      <c r="F613">
        <v>5</v>
      </c>
      <c r="G613">
        <v>1</v>
      </c>
      <c r="H613" s="1">
        <v>6.7361111111111111E-3</v>
      </c>
      <c r="I613">
        <v>2020</v>
      </c>
      <c r="J613" t="s">
        <v>59</v>
      </c>
      <c r="K613" s="2" t="str">
        <f>HYPERLINK("https://www.nba.com/stats/events?CFID=&amp;CFPARAMS=&amp;GameEventID=30&amp;GameID=0022000867&amp;Season=2020-21&amp;flag=1&amp;title=P.%20George%2025'%203PT%20%20(3%20PTS)%20(K.%20Leonard%201%20AST)", "P. George 25' 3PT  (3 PTS) (K. Leonard 1 AST)")</f>
        <v>P. George 25' 3PT  (3 PTS) (K. Leonard 1 AST)</v>
      </c>
      <c r="L613" s="2" t="str">
        <f>HYPERLINK("https://www.nba.com/game/...-vs-...-0022000867/play-by-play?watchFullGame=true", "LAC vs MIN - Q1 09:42.00")</f>
        <v>LAC vs MIN - Q1 09:42.00</v>
      </c>
      <c r="M613">
        <v>25.69</v>
      </c>
      <c r="N613">
        <v>70.78</v>
      </c>
      <c r="O613">
        <v>75.8</v>
      </c>
      <c r="P613">
        <v>129</v>
      </c>
      <c r="Q613">
        <v>222</v>
      </c>
      <c r="R613">
        <v>70</v>
      </c>
      <c r="S613">
        <v>75</v>
      </c>
      <c r="T613" t="s">
        <v>58</v>
      </c>
    </row>
    <row r="614" spans="1:20" x14ac:dyDescent="0.25">
      <c r="A614">
        <v>22300897</v>
      </c>
      <c r="B614" t="s">
        <v>10</v>
      </c>
      <c r="C614" t="s">
        <v>9</v>
      </c>
      <c r="D614">
        <v>17</v>
      </c>
      <c r="E614">
        <v>27</v>
      </c>
      <c r="F614">
        <v>10</v>
      </c>
      <c r="G614">
        <v>1</v>
      </c>
      <c r="H614" s="1">
        <v>5.5439814814814815E-4</v>
      </c>
      <c r="I614">
        <v>2023</v>
      </c>
      <c r="J614" t="s">
        <v>59</v>
      </c>
      <c r="K614" s="2" t="str">
        <f>HYPERLINK("https://www.nba.com/stats/events?CFID=&amp;CFPARAMS=&amp;GameEventID=125&amp;GameID=0022300897&amp;Season=2023-24&amp;flag=1&amp;title=N.%20Powell%2025'%203PT%20pullup%20(3%20PTS)%20(K.%20Leonard%201%20AST)", "N. Powell 25' 3PT pullup (3 PTS) (K. Leonard 1 AST)")</f>
        <v>N. Powell 25' 3PT pullup (3 PTS) (K. Leonard 1 AST)</v>
      </c>
      <c r="L614" s="2" t="str">
        <f>HYPERLINK("https://www.nba.com/game/...-vs-...-0022300897/play-by-play?watchFullGame=true", "LAC vs HOU - Q1 00:47.90")</f>
        <v>LAC vs HOU - Q1 00:47.90</v>
      </c>
      <c r="M614">
        <v>25.62</v>
      </c>
      <c r="N614">
        <v>70.78</v>
      </c>
      <c r="O614">
        <v>24.51</v>
      </c>
      <c r="P614">
        <v>-127</v>
      </c>
      <c r="Q614">
        <v>222</v>
      </c>
      <c r="R614">
        <v>70</v>
      </c>
      <c r="S614">
        <v>24</v>
      </c>
      <c r="T614" t="s">
        <v>58</v>
      </c>
    </row>
    <row r="615" spans="1:20" x14ac:dyDescent="0.25">
      <c r="A615">
        <v>22201162</v>
      </c>
      <c r="B615" t="s">
        <v>10</v>
      </c>
      <c r="C615" t="s">
        <v>9</v>
      </c>
      <c r="D615">
        <v>7</v>
      </c>
      <c r="E615">
        <v>6</v>
      </c>
      <c r="F615">
        <v>1</v>
      </c>
      <c r="G615">
        <v>1</v>
      </c>
      <c r="H615" s="1">
        <v>5.9837962962962961E-3</v>
      </c>
      <c r="I615">
        <v>2022</v>
      </c>
      <c r="J615" t="s">
        <v>59</v>
      </c>
      <c r="K615" s="2" t="str">
        <f>HYPERLINK("https://www.nba.com/stats/events?CFID=&amp;CFPARAMS=&amp;GameEventID=45&amp;GameID=0022201162&amp;Season=2022-23&amp;flag=1&amp;title=R.%20Westbrook%2026'%203PT%20%20(3%20PTS)%20(K.%20Leonard%201%20AST)", "R. Westbrook 26' 3PT  (3 PTS) (K. Leonard 1 AST)")</f>
        <v>R. Westbrook 26' 3PT  (3 PTS) (K. Leonard 1 AST)</v>
      </c>
      <c r="L615" s="2" t="str">
        <f>HYPERLINK("https://www.nba.com/game/...-vs-...-0022201162/play-by-play?watchFullGame=true", "LAC vs NOP - Q1 08:37.00")</f>
        <v>LAC vs NOP - Q1 08:37.00</v>
      </c>
      <c r="M615">
        <v>26.77</v>
      </c>
      <c r="N615">
        <v>70.12</v>
      </c>
      <c r="O615">
        <v>77.94</v>
      </c>
      <c r="P615">
        <v>140</v>
      </c>
      <c r="Q615">
        <v>228</v>
      </c>
      <c r="R615">
        <v>70</v>
      </c>
      <c r="S615">
        <v>77</v>
      </c>
      <c r="T615" t="s">
        <v>58</v>
      </c>
    </row>
    <row r="616" spans="1:20" x14ac:dyDescent="0.25">
      <c r="A616">
        <v>22000077</v>
      </c>
      <c r="B616" t="s">
        <v>10</v>
      </c>
      <c r="C616" t="s">
        <v>9</v>
      </c>
      <c r="D616">
        <v>54</v>
      </c>
      <c r="E616">
        <v>69</v>
      </c>
      <c r="F616">
        <v>15</v>
      </c>
      <c r="G616">
        <v>3</v>
      </c>
      <c r="H616" s="1">
        <v>2.9050925925925928E-3</v>
      </c>
      <c r="I616">
        <v>2020</v>
      </c>
      <c r="J616" t="s">
        <v>59</v>
      </c>
      <c r="K616" s="2" t="str">
        <f>HYPERLINK("https://www.nba.com/stats/events?CFID=&amp;CFPARAMS=&amp;GameEventID=428&amp;GameID=0022000077&amp;Season=2020-21&amp;flag=1&amp;title=L.%20Kennard%2025'%203PT%20%20(6%20PTS)%20(K.%20Leonard%206%20AST)", "L. Kennard 25' 3PT  (6 PTS) (K. Leonard 6 AST)")</f>
        <v>L. Kennard 25' 3PT  (6 PTS) (K. Leonard 6 AST)</v>
      </c>
      <c r="L616" s="2" t="str">
        <f>HYPERLINK("https://www.nba.com/game/...-vs-...-0022000077/play-by-play?watchFullGame=true", "LAC vs UTA - Q3 04:11.00")</f>
        <v>LAC vs UTA - Q3 04:11.00</v>
      </c>
      <c r="M616">
        <v>25.56</v>
      </c>
      <c r="N616">
        <v>70.650000000000006</v>
      </c>
      <c r="O616">
        <v>74.819999999999993</v>
      </c>
      <c r="P616">
        <v>124</v>
      </c>
      <c r="Q616">
        <v>223</v>
      </c>
      <c r="R616">
        <v>70</v>
      </c>
      <c r="S616">
        <v>74</v>
      </c>
      <c r="T616" t="s">
        <v>58</v>
      </c>
    </row>
    <row r="617" spans="1:20" x14ac:dyDescent="0.25">
      <c r="A617">
        <v>22300223</v>
      </c>
      <c r="B617" t="s">
        <v>10</v>
      </c>
      <c r="C617" t="s">
        <v>9</v>
      </c>
      <c r="D617">
        <v>7</v>
      </c>
      <c r="E617">
        <v>7</v>
      </c>
      <c r="F617">
        <v>0</v>
      </c>
      <c r="G617">
        <v>1</v>
      </c>
      <c r="H617" s="1">
        <v>5.138888888888889E-3</v>
      </c>
      <c r="I617">
        <v>2023</v>
      </c>
      <c r="J617" t="s">
        <v>59</v>
      </c>
      <c r="K617" s="2" t="str">
        <f>HYPERLINK("https://www.nba.com/stats/events?CFID=&amp;CFPARAMS=&amp;GameEventID=52&amp;GameID=0022300223&amp;Season=2023-24&amp;flag=1&amp;title=P.%20George%2026'%203PT%20%20(3%20PTS)%20(K.%20Leonard%201%20AST)", "P. George 26' 3PT  (3 PTS) (K. Leonard 1 AST)")</f>
        <v>P. George 26' 3PT  (3 PTS) (K. Leonard 1 AST)</v>
      </c>
      <c r="L617" s="2" t="str">
        <f>HYPERLINK("https://www.nba.com/game/...-vs-...-0022300223/play-by-play?watchFullGame=true", "LAC vs SAS - Q1 07:24.00")</f>
        <v>LAC vs SAS - Q1 07:24.00</v>
      </c>
      <c r="M617">
        <v>26.86</v>
      </c>
      <c r="N617">
        <v>70.25</v>
      </c>
      <c r="O617">
        <v>21.32</v>
      </c>
      <c r="P617">
        <v>-143</v>
      </c>
      <c r="Q617">
        <v>227</v>
      </c>
      <c r="R617">
        <v>70</v>
      </c>
      <c r="S617">
        <v>21</v>
      </c>
      <c r="T617" t="s">
        <v>58</v>
      </c>
    </row>
    <row r="618" spans="1:20" x14ac:dyDescent="0.25">
      <c r="A618">
        <v>22200784</v>
      </c>
      <c r="B618" t="s">
        <v>10</v>
      </c>
      <c r="C618" t="s">
        <v>9</v>
      </c>
      <c r="D618">
        <v>103</v>
      </c>
      <c r="E618">
        <v>99</v>
      </c>
      <c r="F618">
        <v>4</v>
      </c>
      <c r="G618">
        <v>4</v>
      </c>
      <c r="H618" s="1">
        <v>2.9745370370370373E-3</v>
      </c>
      <c r="I618">
        <v>2022</v>
      </c>
      <c r="J618" t="s">
        <v>59</v>
      </c>
      <c r="K618" s="2" t="str">
        <f>HYPERLINK("https://www.nba.com/stats/events?CFID=&amp;CFPARAMS=&amp;GameEventID=591&amp;GameID=0022200784&amp;Season=2022-23&amp;flag=1&amp;title=N.%20Powell%2027'%203PT%20%20(26%20PTS)%20(K.%20Leonard%205%20AST)", "N. Powell 27' 3PT  (26 PTS) (K. Leonard 5 AST)")</f>
        <v>N. Powell 27' 3PT  (26 PTS) (K. Leonard 5 AST)</v>
      </c>
      <c r="L618" s="2" t="str">
        <f>HYPERLINK("https://www.nba.com/game/...-vs-...-0022200784/play-by-play?watchFullGame=true", "LAC vs MIL - Q4 04:17.00")</f>
        <v>LAC vs MIL - Q4 04:17.00</v>
      </c>
      <c r="M618">
        <v>27.43</v>
      </c>
      <c r="N618">
        <v>70.38</v>
      </c>
      <c r="O618">
        <v>81.13</v>
      </c>
      <c r="P618">
        <v>156</v>
      </c>
      <c r="Q618">
        <v>226</v>
      </c>
      <c r="R618">
        <v>70</v>
      </c>
      <c r="S618">
        <v>81</v>
      </c>
      <c r="T618" t="s">
        <v>58</v>
      </c>
    </row>
    <row r="619" spans="1:20" x14ac:dyDescent="0.25">
      <c r="A619">
        <v>22200538</v>
      </c>
      <c r="B619" t="s">
        <v>10</v>
      </c>
      <c r="C619" t="s">
        <v>9</v>
      </c>
      <c r="D619">
        <v>10</v>
      </c>
      <c r="E619">
        <v>12</v>
      </c>
      <c r="F619">
        <v>2</v>
      </c>
      <c r="G619">
        <v>1</v>
      </c>
      <c r="H619" s="1">
        <v>4.7569444444444447E-3</v>
      </c>
      <c r="I619">
        <v>2022</v>
      </c>
      <c r="J619" t="s">
        <v>59</v>
      </c>
      <c r="K619" s="2" t="str">
        <f>HYPERLINK("https://www.nba.com/stats/events?CFID=&amp;CFPARAMS=&amp;GameEventID=46&amp;GameID=0022200538&amp;Season=2022-23&amp;flag=1&amp;title=M.%20Morris%20Sr.%2026'%203PT%20pullup%20(3%20PTS)%20(K.%20Leonard%201%20AST)", "M. Morris Sr. 26' 3PT pullup (3 PTS) (K. Leonard 1 AST)")</f>
        <v>M. Morris Sr. 26' 3PT pullup (3 PTS) (K. Leonard 1 AST)</v>
      </c>
      <c r="L619" s="2" t="str">
        <f>HYPERLINK("https://www.nba.com/game/...-vs-...-0022200538/play-by-play?watchFullGame=true", "LAC vs IND - Q1 06:51.00")</f>
        <v>LAC vs IND - Q1 06:51.00</v>
      </c>
      <c r="M619">
        <v>26.58</v>
      </c>
      <c r="N619">
        <v>70.78</v>
      </c>
      <c r="O619">
        <v>79.17</v>
      </c>
      <c r="P619">
        <v>146</v>
      </c>
      <c r="Q619">
        <v>222</v>
      </c>
      <c r="R619">
        <v>70</v>
      </c>
      <c r="S619">
        <v>79</v>
      </c>
      <c r="T619" t="s">
        <v>58</v>
      </c>
    </row>
    <row r="620" spans="1:20" x14ac:dyDescent="0.25">
      <c r="A620">
        <v>22300304</v>
      </c>
      <c r="B620" t="s">
        <v>10</v>
      </c>
      <c r="C620" t="s">
        <v>9</v>
      </c>
      <c r="D620">
        <v>34</v>
      </c>
      <c r="E620">
        <v>24</v>
      </c>
      <c r="F620">
        <v>10</v>
      </c>
      <c r="G620">
        <v>1</v>
      </c>
      <c r="H620" s="1">
        <v>1.5972222222222223E-3</v>
      </c>
      <c r="I620">
        <v>2023</v>
      </c>
      <c r="J620" t="s">
        <v>59</v>
      </c>
      <c r="K620" s="2" t="str">
        <f>HYPERLINK("https://www.nba.com/stats/events?CFID=&amp;CFPARAMS=&amp;GameEventID=110&amp;GameID=0022300304&amp;Season=2023-24&amp;flag=1&amp;title=D.%20Theis%2026'%203PT%20%20(3%20PTS)%20(K.%20Leonard%202%20AST)", "D. Theis 26' 3PT  (3 PTS) (K. Leonard 2 AST)")</f>
        <v>D. Theis 26' 3PT  (3 PTS) (K. Leonard 2 AST)</v>
      </c>
      <c r="L620" s="2" t="str">
        <f>HYPERLINK("https://www.nba.com/game/...-vs-...-0022300304/play-by-play?watchFullGame=true", "LAC vs POR - Q1 02:18.00")</f>
        <v>LAC vs POR - Q1 02:18.00</v>
      </c>
      <c r="M620">
        <v>26.31</v>
      </c>
      <c r="N620">
        <v>70.61</v>
      </c>
      <c r="O620">
        <v>77.7</v>
      </c>
      <c r="P620">
        <v>138</v>
      </c>
      <c r="Q620">
        <v>224</v>
      </c>
      <c r="R620">
        <v>70</v>
      </c>
      <c r="S620">
        <v>77</v>
      </c>
      <c r="T620" t="s">
        <v>58</v>
      </c>
    </row>
    <row r="621" spans="1:20" x14ac:dyDescent="0.25">
      <c r="A621">
        <v>42200172</v>
      </c>
      <c r="B621" t="s">
        <v>10</v>
      </c>
      <c r="C621" t="s">
        <v>9</v>
      </c>
      <c r="D621">
        <v>11</v>
      </c>
      <c r="E621">
        <v>7</v>
      </c>
      <c r="F621">
        <v>4</v>
      </c>
      <c r="G621">
        <v>1</v>
      </c>
      <c r="H621" s="1">
        <v>6.5393518518518517E-3</v>
      </c>
      <c r="I621" t="s">
        <v>67</v>
      </c>
      <c r="J621" t="s">
        <v>59</v>
      </c>
      <c r="K621" s="2" t="str">
        <f>HYPERLINK("https://www.nba.com/stats/events?CFID=&amp;CFPARAMS=&amp;GameEventID=32&amp;GameID=0042200172&amp;Season=2022-23&amp;flag=1&amp;title=E.%20Gordon%2028'%203PT%20%20(6%20PTS)%20(K.%20Leonard%203%20AST)", "E. Gordon 28' 3PT  (6 PTS) (K. Leonard 3 AST)")</f>
        <v>E. Gordon 28' 3PT  (6 PTS) (K. Leonard 3 AST)</v>
      </c>
      <c r="L621" s="2" t="str">
        <f>HYPERLINK("https://www.nba.com/game/...-vs-...-0042200172/play-by-play?watchFullGame=true", "LAC vs PHX - Q1 09:25.00")</f>
        <v>LAC vs PHX - Q1 09:25.00</v>
      </c>
      <c r="M621">
        <v>28.93</v>
      </c>
      <c r="N621">
        <v>70.650000000000006</v>
      </c>
      <c r="O621">
        <v>13.24</v>
      </c>
      <c r="P621">
        <v>70</v>
      </c>
      <c r="Q621">
        <v>13</v>
      </c>
      <c r="R621">
        <v>70</v>
      </c>
      <c r="S621">
        <v>13</v>
      </c>
      <c r="T621" t="s">
        <v>58</v>
      </c>
    </row>
    <row r="622" spans="1:20" x14ac:dyDescent="0.25">
      <c r="A622">
        <v>22000308</v>
      </c>
      <c r="B622" t="s">
        <v>10</v>
      </c>
      <c r="C622" t="s">
        <v>9</v>
      </c>
      <c r="D622">
        <v>119</v>
      </c>
      <c r="E622">
        <v>109</v>
      </c>
      <c r="F622">
        <v>10</v>
      </c>
      <c r="G622">
        <v>4</v>
      </c>
      <c r="H622" s="1">
        <v>2.3726851851851851E-3</v>
      </c>
      <c r="I622">
        <v>2020</v>
      </c>
      <c r="J622" t="s">
        <v>59</v>
      </c>
      <c r="K622" s="2" t="str">
        <f>HYPERLINK("https://www.nba.com/stats/events?CFID=&amp;CFPARAMS=&amp;GameEventID=549&amp;GameID=0022000308&amp;Season=2020-21&amp;flag=1&amp;title=Ibaka%2025'%203PT%20%20(12%20PTS)%20(K.%20Leonard%203%20AST)", "S. Ibaka 25' 3PT  (12 PTS) (K. Leonard 3 AST)")</f>
        <v>S. Ibaka 25' 3PT  (12 PTS) (K. Leonard 3 AST)</v>
      </c>
      <c r="L622" s="2" t="str">
        <f>HYPERLINK("https://www.nba.com/game/...-vs-...-0022000308/play-by-play?watchFullGame=true", "LAC vs NYK - Q4 03:25.00")</f>
        <v>LAC vs NYK - Q4 03:25.00</v>
      </c>
      <c r="M622">
        <v>25.43</v>
      </c>
      <c r="N622">
        <v>70.38</v>
      </c>
      <c r="O622">
        <v>73.349999999999994</v>
      </c>
      <c r="P622">
        <v>117</v>
      </c>
      <c r="Q622">
        <v>226</v>
      </c>
      <c r="R622">
        <v>70</v>
      </c>
      <c r="S622">
        <v>73</v>
      </c>
      <c r="T622" t="s">
        <v>58</v>
      </c>
    </row>
    <row r="623" spans="1:20" x14ac:dyDescent="0.25">
      <c r="A623">
        <v>42200171</v>
      </c>
      <c r="B623" t="s">
        <v>10</v>
      </c>
      <c r="C623" t="s">
        <v>9</v>
      </c>
      <c r="D623">
        <v>8</v>
      </c>
      <c r="E623">
        <v>8</v>
      </c>
      <c r="F623">
        <v>0</v>
      </c>
      <c r="G623">
        <v>1</v>
      </c>
      <c r="H623" s="1">
        <v>5.1504629629629626E-3</v>
      </c>
      <c r="I623" t="s">
        <v>67</v>
      </c>
      <c r="J623" t="s">
        <v>59</v>
      </c>
      <c r="K623" s="2" t="str">
        <f>HYPERLINK("https://www.nba.com/stats/events?CFID=&amp;CFPARAMS=&amp;GameEventID=51&amp;GameID=0042200171&amp;Season=2022-23&amp;flag=1&amp;title=N.%20Batum%2027'%203PT%20%20(3%20PTS)%20(K.%20Leonard%202%20AST)", "N. Batum 27' 3PT  (3 PTS) (K. Leonard 2 AST)")</f>
        <v>N. Batum 27' 3PT  (3 PTS) (K. Leonard 2 AST)</v>
      </c>
      <c r="L623" s="2" t="str">
        <f>HYPERLINK("https://www.nba.com/game/...-vs-...-0042200171/play-by-play?watchFullGame=true", "LAC vs PHX - Q1 07:25.00")</f>
        <v>LAC vs PHX - Q1 07:25.00</v>
      </c>
      <c r="M623">
        <v>27.39</v>
      </c>
      <c r="N623">
        <v>70.25</v>
      </c>
      <c r="O623">
        <v>80.64</v>
      </c>
      <c r="P623">
        <v>70</v>
      </c>
      <c r="Q623">
        <v>80</v>
      </c>
      <c r="R623">
        <v>70</v>
      </c>
      <c r="S623">
        <v>80</v>
      </c>
      <c r="T623" t="s">
        <v>58</v>
      </c>
    </row>
    <row r="624" spans="1:20" x14ac:dyDescent="0.25">
      <c r="A624">
        <v>42000171</v>
      </c>
      <c r="B624" t="s">
        <v>10</v>
      </c>
      <c r="C624" t="s">
        <v>9</v>
      </c>
      <c r="D624">
        <v>43</v>
      </c>
      <c r="E624">
        <v>40</v>
      </c>
      <c r="F624">
        <v>3</v>
      </c>
      <c r="G624">
        <v>2</v>
      </c>
      <c r="H624" s="1">
        <v>4.5370370370370373E-3</v>
      </c>
      <c r="I624" t="s">
        <v>66</v>
      </c>
      <c r="J624" t="s">
        <v>59</v>
      </c>
      <c r="K624" s="2" t="str">
        <f>HYPERLINK("https://www.nba.com/stats/events?CFID=&amp;CFPARAMS=&amp;GameEventID=233&amp;GameID=0042000171&amp;Season=2020-21&amp;flag=1&amp;title=R.%20Rondo%2024'%203PT%20%20(6%20PTS)%20(K.%20Leonard%202%20AST)", "R. Rondo 24' 3PT  (6 PTS) (K. Leonard 2 AST)")</f>
        <v>R. Rondo 24' 3PT  (6 PTS) (K. Leonard 2 AST)</v>
      </c>
      <c r="L624" s="2" t="str">
        <f>HYPERLINK("https://www.nba.com/game/...-vs-...-0042000171/play-by-play?watchFullGame=true", "LAC vs DAL - Q2 06:32.00")</f>
        <v>LAC vs DAL - Q2 06:32.00</v>
      </c>
      <c r="M624">
        <v>24.8</v>
      </c>
      <c r="N624">
        <v>70.25</v>
      </c>
      <c r="O624">
        <v>69.92</v>
      </c>
      <c r="P624">
        <v>70</v>
      </c>
      <c r="Q624">
        <v>69</v>
      </c>
      <c r="R624">
        <v>70</v>
      </c>
      <c r="S624">
        <v>69</v>
      </c>
      <c r="T624" t="s">
        <v>58</v>
      </c>
    </row>
    <row r="625" spans="1:20" x14ac:dyDescent="0.25">
      <c r="A625">
        <v>42000223</v>
      </c>
      <c r="B625" t="s">
        <v>10</v>
      </c>
      <c r="C625" t="s">
        <v>9</v>
      </c>
      <c r="D625">
        <v>116</v>
      </c>
      <c r="E625">
        <v>95</v>
      </c>
      <c r="F625">
        <v>21</v>
      </c>
      <c r="G625">
        <v>4</v>
      </c>
      <c r="H625" s="1">
        <v>3.7268518518518519E-3</v>
      </c>
      <c r="I625" t="s">
        <v>71</v>
      </c>
      <c r="J625" t="s">
        <v>59</v>
      </c>
      <c r="K625" s="2" t="str">
        <f>HYPERLINK("https://www.nba.com/stats/events?CFID=&amp;CFPARAMS=&amp;GameEventID=535&amp;GameID=0042000223&amp;Season=2020-21&amp;flag=1&amp;title=N.%20Batum%2025'%203PT%20%20(17%20PTS)%20(K.%20Leonard%205%20AST)", "N. Batum 25' 3PT  (17 PTS) (K. Leonard 5 AST)")</f>
        <v>N. Batum 25' 3PT  (17 PTS) (K. Leonard 5 AST)</v>
      </c>
      <c r="L625" s="2" t="str">
        <f>HYPERLINK("https://www.nba.com/game/...-vs-...-0042000223/play-by-play?watchFullGame=true", "LAC vs UTA - Q4 05:22.00")</f>
        <v>LAC vs UTA - Q4 05:22.00</v>
      </c>
      <c r="M625">
        <v>25.19</v>
      </c>
      <c r="N625">
        <v>70.09</v>
      </c>
      <c r="O625">
        <v>28.85</v>
      </c>
      <c r="P625">
        <v>70</v>
      </c>
      <c r="Q625">
        <v>28</v>
      </c>
      <c r="R625">
        <v>70</v>
      </c>
      <c r="S625">
        <v>28</v>
      </c>
      <c r="T625" t="s">
        <v>58</v>
      </c>
    </row>
    <row r="626" spans="1:20" x14ac:dyDescent="0.25">
      <c r="A626">
        <v>42200172</v>
      </c>
      <c r="B626" t="s">
        <v>10</v>
      </c>
      <c r="C626" t="s">
        <v>9</v>
      </c>
      <c r="D626">
        <v>5</v>
      </c>
      <c r="E626">
        <v>5</v>
      </c>
      <c r="F626">
        <v>0</v>
      </c>
      <c r="G626">
        <v>1</v>
      </c>
      <c r="H626" s="1">
        <v>7.1759259259259259E-3</v>
      </c>
      <c r="I626" t="s">
        <v>67</v>
      </c>
      <c r="J626" t="s">
        <v>59</v>
      </c>
      <c r="K626" s="2" t="str">
        <f>HYPERLINK("https://www.nba.com/stats/events?CFID=&amp;CFPARAMS=&amp;GameEventID=22&amp;GameID=0042200172&amp;Season=2022-23&amp;flag=1&amp;title=R.%20Westbrook%2028'%203PT%20%20(3%20PTS)%20(K.%20Leonard%201%20AST)", "R. Westbrook 28' 3PT  (3 PTS) (K. Leonard 1 AST)")</f>
        <v>R. Westbrook 28' 3PT  (3 PTS) (K. Leonard 1 AST)</v>
      </c>
      <c r="L626" s="2" t="str">
        <f>HYPERLINK("https://www.nba.com/game/...-vs-...-0042200172/play-by-play?watchFullGame=true", "LAC vs PHX - Q1 10:20.00")</f>
        <v>LAC vs PHX - Q1 10:20.00</v>
      </c>
      <c r="M626">
        <v>28.67</v>
      </c>
      <c r="N626">
        <v>70.38</v>
      </c>
      <c r="O626">
        <v>14.71</v>
      </c>
      <c r="P626">
        <v>70</v>
      </c>
      <c r="Q626">
        <v>14</v>
      </c>
      <c r="R626">
        <v>70</v>
      </c>
      <c r="S626">
        <v>14</v>
      </c>
      <c r="T626" t="s">
        <v>58</v>
      </c>
    </row>
    <row r="627" spans="1:20" x14ac:dyDescent="0.25">
      <c r="A627">
        <v>22000077</v>
      </c>
      <c r="B627" t="s">
        <v>10</v>
      </c>
      <c r="C627" t="s">
        <v>9</v>
      </c>
      <c r="D627">
        <v>97</v>
      </c>
      <c r="E627">
        <v>102</v>
      </c>
      <c r="F627">
        <v>5</v>
      </c>
      <c r="G627">
        <v>4</v>
      </c>
      <c r="H627" s="1">
        <v>7.6388888888888893E-4</v>
      </c>
      <c r="I627">
        <v>2020</v>
      </c>
      <c r="J627" t="s">
        <v>59</v>
      </c>
      <c r="K627" s="2" t="str">
        <f>HYPERLINK("https://www.nba.com/stats/events?CFID=&amp;CFPARAMS=&amp;GameEventID=622&amp;GameID=0022000077&amp;Season=2020-21&amp;flag=1&amp;title=P.%20George%2025'%203PT%20%20(22%20PTS)%20(K.%20Leonard%209%20AST)", "P. George 25' 3PT  (22 PTS) (K. Leonard 9 AST)")</f>
        <v>P. George 25' 3PT  (22 PTS) (K. Leonard 9 AST)</v>
      </c>
      <c r="L627" s="2" t="str">
        <f>HYPERLINK("https://www.nba.com/game/...-vs-...-0022000077/play-by-play?watchFullGame=true", "LAC vs UTA - Q4 01:06.00")</f>
        <v>LAC vs UTA - Q4 01:06.00</v>
      </c>
      <c r="M627">
        <v>25.97</v>
      </c>
      <c r="N627">
        <v>70.78</v>
      </c>
      <c r="O627">
        <v>23.11</v>
      </c>
      <c r="P627">
        <v>-134</v>
      </c>
      <c r="Q627">
        <v>222</v>
      </c>
      <c r="R627">
        <v>70</v>
      </c>
      <c r="S627">
        <v>23</v>
      </c>
      <c r="T627" t="s">
        <v>58</v>
      </c>
    </row>
    <row r="628" spans="1:20" x14ac:dyDescent="0.25">
      <c r="A628">
        <v>21900016</v>
      </c>
      <c r="B628" t="s">
        <v>10</v>
      </c>
      <c r="C628" t="s">
        <v>61</v>
      </c>
      <c r="D628">
        <v>68</v>
      </c>
      <c r="E628">
        <v>54</v>
      </c>
      <c r="F628">
        <v>14</v>
      </c>
      <c r="G628">
        <v>3</v>
      </c>
      <c r="H628" s="1">
        <v>7.9629629629629634E-3</v>
      </c>
      <c r="I628">
        <v>2019</v>
      </c>
      <c r="J628" t="s">
        <v>59</v>
      </c>
      <c r="K628" s="2" t="str">
        <f>HYPERLINK("https://www.nba.com/stats/events?CFID=&amp;CFPARAMS=&amp;GameEventID=386&amp;GameID=0021900016&amp;Season=2019-20&amp;flag=1&amp;title=[LAC]%20Shamet%203pt%20shot:%20Made%20(3%20PTS)%20assist:%20Leonard%20(6%20AST)", "[LAC] Shamet 3pt shot: Made (3 PTS) assist: Leonard (6 AST)")</f>
        <v>[LAC] Shamet 3pt shot: Made (3 PTS) assist: Leonard (6 AST)</v>
      </c>
      <c r="L628" s="2" t="str">
        <f>HYPERLINK("https://www.nba.com/game/...-vs-...-0021900016/play-by-play?watchFullGame=true", "LAC vs GSW - Q3 11:28.00")</f>
        <v>LAC vs GSW - Q3 11:28.00</v>
      </c>
      <c r="M628">
        <v>27.1</v>
      </c>
      <c r="N628">
        <v>71.7</v>
      </c>
      <c r="O628">
        <v>81.93</v>
      </c>
      <c r="P628">
        <v>160</v>
      </c>
      <c r="Q628">
        <v>214</v>
      </c>
      <c r="R628">
        <v>71</v>
      </c>
      <c r="S628">
        <v>81</v>
      </c>
      <c r="T628" t="s">
        <v>58</v>
      </c>
    </row>
    <row r="629" spans="1:20" x14ac:dyDescent="0.25">
      <c r="A629">
        <v>22000328</v>
      </c>
      <c r="B629" t="s">
        <v>10</v>
      </c>
      <c r="C629" t="s">
        <v>9</v>
      </c>
      <c r="D629">
        <v>57</v>
      </c>
      <c r="E629">
        <v>49</v>
      </c>
      <c r="F629">
        <v>8</v>
      </c>
      <c r="G629">
        <v>3</v>
      </c>
      <c r="H629" s="1">
        <v>7.3842592592592597E-3</v>
      </c>
      <c r="I629">
        <v>2020</v>
      </c>
      <c r="J629" t="s">
        <v>59</v>
      </c>
      <c r="K629" s="2" t="str">
        <f>HYPERLINK("https://www.nba.com/stats/events?CFID=&amp;CFPARAMS=&amp;GameEventID=306&amp;GameID=0022000328&amp;Season=2020-21&amp;flag=1&amp;title=Ibaka%2029'%203PT%20%20(12%20PTS)%20(K.%20Leonard%202%20AST)", "S. Ibaka 29' 3PT  (12 PTS) (K. Leonard 2 AST)")</f>
        <v>S. Ibaka 29' 3PT  (12 PTS) (K. Leonard 2 AST)</v>
      </c>
      <c r="L629" s="2" t="str">
        <f>HYPERLINK("https://www.nba.com/game/...-vs-...-0022000328/play-by-play?watchFullGame=true", "LAC vs CLE - Q3 10:38.00")</f>
        <v>LAC vs CLE - Q3 10:38.00</v>
      </c>
      <c r="M629">
        <v>29.65</v>
      </c>
      <c r="N629">
        <v>71.3</v>
      </c>
      <c r="O629">
        <v>9.6300000000000008</v>
      </c>
      <c r="P629">
        <v>-202</v>
      </c>
      <c r="Q629">
        <v>217</v>
      </c>
      <c r="R629">
        <v>71</v>
      </c>
      <c r="S629">
        <v>9</v>
      </c>
      <c r="T629" t="s">
        <v>58</v>
      </c>
    </row>
    <row r="630" spans="1:20" x14ac:dyDescent="0.25">
      <c r="A630">
        <v>22000188</v>
      </c>
      <c r="B630" t="s">
        <v>10</v>
      </c>
      <c r="C630" t="s">
        <v>9</v>
      </c>
      <c r="D630">
        <v>9</v>
      </c>
      <c r="E630">
        <v>13</v>
      </c>
      <c r="F630">
        <v>4</v>
      </c>
      <c r="G630">
        <v>1</v>
      </c>
      <c r="H630" s="1">
        <v>6.3888888888888893E-3</v>
      </c>
      <c r="I630">
        <v>2020</v>
      </c>
      <c r="J630" t="s">
        <v>59</v>
      </c>
      <c r="K630" s="2" t="str">
        <f>HYPERLINK("https://www.nba.com/stats/events?CFID=&amp;CFPARAMS=&amp;GameEventID=30&amp;GameID=0022000188&amp;Season=2020-21&amp;flag=1&amp;title=R.%20Jackson%2026'%203PT%20%20(3%20PTS)%20(K.%20Leonard%201%20AST)", "R. Jackson 26' 3PT  (3 PTS) (K. Leonard 1 AST)")</f>
        <v>R. Jackson 26' 3PT  (3 PTS) (K. Leonard 1 AST)</v>
      </c>
      <c r="L630" s="2" t="str">
        <f>HYPERLINK("https://www.nba.com/game/...-vs-...-0022000188/play-by-play?watchFullGame=true", "LAC vs SAC - Q1 09:12.00")</f>
        <v>LAC vs SAC - Q1 09:12.00</v>
      </c>
      <c r="M630">
        <v>26.18</v>
      </c>
      <c r="N630">
        <v>71.44</v>
      </c>
      <c r="O630">
        <v>20.41</v>
      </c>
      <c r="P630">
        <v>-148</v>
      </c>
      <c r="Q630">
        <v>216</v>
      </c>
      <c r="R630">
        <v>71</v>
      </c>
      <c r="S630">
        <v>20</v>
      </c>
      <c r="T630" t="s">
        <v>58</v>
      </c>
    </row>
    <row r="631" spans="1:20" x14ac:dyDescent="0.25">
      <c r="A631">
        <v>22000756</v>
      </c>
      <c r="B631" t="s">
        <v>10</v>
      </c>
      <c r="C631" t="s">
        <v>9</v>
      </c>
      <c r="D631">
        <v>50</v>
      </c>
      <c r="E631">
        <v>30</v>
      </c>
      <c r="F631">
        <v>20</v>
      </c>
      <c r="G631">
        <v>2</v>
      </c>
      <c r="H631" s="1">
        <v>2.1412037037037038E-3</v>
      </c>
      <c r="I631">
        <v>2020</v>
      </c>
      <c r="J631" t="s">
        <v>59</v>
      </c>
      <c r="K631" s="2" t="str">
        <f>HYPERLINK("https://www.nba.com/stats/events?CFID=&amp;CFPARAMS=&amp;GameEventID=283&amp;GameID=0022000756&amp;Season=2020-21&amp;flag=1&amp;title=M.%20Morris%20Sr.%2025'%203PT%20%20(17%20PTS)%20(K.%20Leonard%204%20AST)", "M. Morris Sr. 25' 3PT  (17 PTS) (K. Leonard 4 AST)")</f>
        <v>M. Morris Sr. 25' 3PT  (17 PTS) (K. Leonard 4 AST)</v>
      </c>
      <c r="L631" s="2" t="str">
        <f>HYPERLINK("https://www.nba.com/game/...-vs-...-0022000756/play-by-play?watchFullGame=true", "LAC vs LAL - Q2 03:05.00")</f>
        <v>LAC vs LAL - Q2 03:05.00</v>
      </c>
      <c r="M631">
        <v>25.98</v>
      </c>
      <c r="N631">
        <v>71.17</v>
      </c>
      <c r="O631">
        <v>21.88</v>
      </c>
      <c r="P631">
        <v>-141</v>
      </c>
      <c r="Q631">
        <v>218</v>
      </c>
      <c r="R631">
        <v>71</v>
      </c>
      <c r="S631">
        <v>21</v>
      </c>
      <c r="T631" t="s">
        <v>58</v>
      </c>
    </row>
    <row r="632" spans="1:20" x14ac:dyDescent="0.25">
      <c r="A632">
        <v>22000867</v>
      </c>
      <c r="B632" t="s">
        <v>10</v>
      </c>
      <c r="C632" t="s">
        <v>9</v>
      </c>
      <c r="D632">
        <v>51</v>
      </c>
      <c r="E632">
        <v>35</v>
      </c>
      <c r="F632">
        <v>16</v>
      </c>
      <c r="G632">
        <v>2</v>
      </c>
      <c r="H632" s="1">
        <v>4.6064814814814814E-3</v>
      </c>
      <c r="I632">
        <v>2020</v>
      </c>
      <c r="J632" t="s">
        <v>59</v>
      </c>
      <c r="K632" s="2" t="str">
        <f>HYPERLINK("https://www.nba.com/stats/events?CFID=&amp;CFPARAMS=&amp;GameEventID=231&amp;GameID=0022000867&amp;Season=2020-21&amp;flag=1&amp;title=R.%20Jackson%2028'%203PT%20%20(5%20PTS)%20(K.%20Leonard%202%20AST)", "R. Jackson 28' 3PT  (5 PTS) (K. Leonard 2 AST)")</f>
        <v>R. Jackson 28' 3PT  (5 PTS) (K. Leonard 2 AST)</v>
      </c>
      <c r="L632" s="2" t="str">
        <f>HYPERLINK("https://www.nba.com/game/...-vs-...-0022000867/play-by-play?watchFullGame=true", "LAC vs MIN - Q2 06:38.00")</f>
        <v>LAC vs MIN - Q2 06:38.00</v>
      </c>
      <c r="M632">
        <v>28.05</v>
      </c>
      <c r="N632">
        <v>71.959999999999994</v>
      </c>
      <c r="O632">
        <v>13.06</v>
      </c>
      <c r="P632">
        <v>-185</v>
      </c>
      <c r="Q632">
        <v>211</v>
      </c>
      <c r="R632">
        <v>71</v>
      </c>
      <c r="S632">
        <v>13</v>
      </c>
      <c r="T632" t="s">
        <v>58</v>
      </c>
    </row>
    <row r="633" spans="1:20" x14ac:dyDescent="0.25">
      <c r="A633">
        <v>22000366</v>
      </c>
      <c r="B633" t="s">
        <v>10</v>
      </c>
      <c r="C633" t="s">
        <v>9</v>
      </c>
      <c r="D633">
        <v>8</v>
      </c>
      <c r="E633">
        <v>6</v>
      </c>
      <c r="F633">
        <v>2</v>
      </c>
      <c r="G633">
        <v>1</v>
      </c>
      <c r="H633" s="1">
        <v>6.0416666666666665E-3</v>
      </c>
      <c r="I633">
        <v>2020</v>
      </c>
      <c r="J633" t="s">
        <v>59</v>
      </c>
      <c r="K633" s="2" t="str">
        <f>HYPERLINK("https://www.nba.com/stats/events?CFID=&amp;CFPARAMS=&amp;GameEventID=35&amp;GameID=0022000366&amp;Season=2020-21&amp;flag=1&amp;title=R.%20Jackson%2025'%203PT%20%20(3%20PTS)%20(K.%20Leonard%202%20AST)", "R. Jackson 25' 3PT  (3 PTS) (K. Leonard 2 AST)")</f>
        <v>R. Jackson 25' 3PT  (3 PTS) (K. Leonard 2 AST)</v>
      </c>
      <c r="L633" s="2" t="str">
        <f>HYPERLINK("https://www.nba.com/game/...-vs-...-0022000366/play-by-play?watchFullGame=true", "LAC vs SAC - Q1 08:42.00")</f>
        <v>LAC vs SAC - Q1 08:42.00</v>
      </c>
      <c r="M633">
        <v>25.64</v>
      </c>
      <c r="N633">
        <v>71.959999999999994</v>
      </c>
      <c r="O633">
        <v>20.9</v>
      </c>
      <c r="P633">
        <v>-145</v>
      </c>
      <c r="Q633">
        <v>211</v>
      </c>
      <c r="R633">
        <v>71</v>
      </c>
      <c r="S633">
        <v>20</v>
      </c>
      <c r="T633" t="s">
        <v>58</v>
      </c>
    </row>
    <row r="634" spans="1:20" x14ac:dyDescent="0.25">
      <c r="A634">
        <v>22000644</v>
      </c>
      <c r="B634" t="s">
        <v>10</v>
      </c>
      <c r="C634" t="s">
        <v>9</v>
      </c>
      <c r="D634">
        <v>3</v>
      </c>
      <c r="E634">
        <v>0</v>
      </c>
      <c r="F634">
        <v>3</v>
      </c>
      <c r="G634">
        <v>1</v>
      </c>
      <c r="H634" s="1">
        <v>7.8472222222222224E-3</v>
      </c>
      <c r="I634">
        <v>2020</v>
      </c>
      <c r="J634" t="s">
        <v>59</v>
      </c>
      <c r="K634" s="2" t="str">
        <f>HYPERLINK("https://www.nba.com/stats/events?CFID=&amp;CFPARAMS=&amp;GameEventID=10&amp;GameID=0022000644&amp;Season=2020-21&amp;flag=1&amp;title=P.%20George%2025'%203PT%20%20(3%20PTS)%20(K.%20Leonard%201%20AST)", "P. George 25' 3PT  (3 PTS) (K. Leonard 1 AST)")</f>
        <v>P. George 25' 3PT  (3 PTS) (K. Leonard 1 AST)</v>
      </c>
      <c r="L634" s="2" t="str">
        <f>HYPERLINK("https://www.nba.com/game/...-vs-...-0022000644/play-by-play?watchFullGame=true", "LAC vs CHA - Q1 11:18.00")</f>
        <v>LAC vs CHA - Q1 11:18.00</v>
      </c>
      <c r="M634">
        <v>25.56</v>
      </c>
      <c r="N634">
        <v>71.17</v>
      </c>
      <c r="O634">
        <v>76.540000000000006</v>
      </c>
      <c r="P634">
        <v>133</v>
      </c>
      <c r="Q634">
        <v>218</v>
      </c>
      <c r="R634">
        <v>71</v>
      </c>
      <c r="S634">
        <v>76</v>
      </c>
      <c r="T634" t="s">
        <v>58</v>
      </c>
    </row>
    <row r="635" spans="1:20" x14ac:dyDescent="0.25">
      <c r="A635">
        <v>22200408</v>
      </c>
      <c r="B635" t="s">
        <v>10</v>
      </c>
      <c r="C635" t="s">
        <v>9</v>
      </c>
      <c r="D635">
        <v>52</v>
      </c>
      <c r="E635">
        <v>45</v>
      </c>
      <c r="F635">
        <v>7</v>
      </c>
      <c r="G635">
        <v>2</v>
      </c>
      <c r="H635" s="1">
        <v>1.3310185185185185E-3</v>
      </c>
      <c r="I635">
        <v>2022</v>
      </c>
      <c r="J635" t="s">
        <v>59</v>
      </c>
      <c r="K635" s="2" t="str">
        <f>HYPERLINK("https://www.nba.com/stats/events?CFID=&amp;CFPARAMS=&amp;GameEventID=303&amp;GameID=0022200408&amp;Season=2022-23&amp;flag=1&amp;title=N.%20Batum%2025'%203PT%20%20(7%20PTS)%20(K.%20Leonard%205%20AST)", "N. Batum 25' 3PT  (7 PTS) (K. Leonard 5 AST)")</f>
        <v>N. Batum 25' 3PT  (7 PTS) (K. Leonard 5 AST)</v>
      </c>
      <c r="L635" s="2" t="str">
        <f>HYPERLINK("https://www.nba.com/game/...-vs-...-0022200408/play-by-play?watchFullGame=true", "LAC vs BOS - Q2 01:55.00")</f>
        <v>LAC vs BOS - Q2 01:55.00</v>
      </c>
      <c r="M635">
        <v>25.36</v>
      </c>
      <c r="N635">
        <v>71.400000000000006</v>
      </c>
      <c r="O635">
        <v>76.47</v>
      </c>
      <c r="P635">
        <v>132</v>
      </c>
      <c r="Q635">
        <v>216</v>
      </c>
      <c r="R635">
        <v>71</v>
      </c>
      <c r="S635">
        <v>76</v>
      </c>
      <c r="T635" t="s">
        <v>58</v>
      </c>
    </row>
    <row r="636" spans="1:20" x14ac:dyDescent="0.25">
      <c r="A636">
        <v>22000328</v>
      </c>
      <c r="B636" t="s">
        <v>10</v>
      </c>
      <c r="C636" t="s">
        <v>9</v>
      </c>
      <c r="D636">
        <v>72</v>
      </c>
      <c r="E636">
        <v>59</v>
      </c>
      <c r="F636">
        <v>13</v>
      </c>
      <c r="G636">
        <v>3</v>
      </c>
      <c r="H636" s="1">
        <v>3.7615740740740739E-3</v>
      </c>
      <c r="I636">
        <v>2020</v>
      </c>
      <c r="J636" t="s">
        <v>59</v>
      </c>
      <c r="K636" s="2" t="str">
        <f>HYPERLINK("https://www.nba.com/stats/events?CFID=&amp;CFPARAMS=&amp;GameEventID=354&amp;GameID=0022000328&amp;Season=2020-21&amp;flag=1&amp;title=N.%20Batum%2024'%203PT%20%20(7%20PTS)%20(K.%20Leonard%203%20AST)", "N. Batum 24' 3PT  (7 PTS) (K. Leonard 3 AST)")</f>
        <v>N. Batum 24' 3PT  (7 PTS) (K. Leonard 3 AST)</v>
      </c>
      <c r="L636" s="2" t="str">
        <f>HYPERLINK("https://www.nba.com/game/...-vs-...-0022000328/play-by-play?watchFullGame=true", "LAC vs CLE - Q3 05:25.00")</f>
        <v>LAC vs CLE - Q3 05:25.00</v>
      </c>
      <c r="M636">
        <v>24.88</v>
      </c>
      <c r="N636">
        <v>71.7</v>
      </c>
      <c r="O636">
        <v>75.56</v>
      </c>
      <c r="P636">
        <v>128</v>
      </c>
      <c r="Q636">
        <v>214</v>
      </c>
      <c r="R636">
        <v>71</v>
      </c>
      <c r="S636">
        <v>75</v>
      </c>
      <c r="T636" t="s">
        <v>58</v>
      </c>
    </row>
    <row r="637" spans="1:20" x14ac:dyDescent="0.25">
      <c r="A637">
        <v>22201041</v>
      </c>
      <c r="B637" t="s">
        <v>10</v>
      </c>
      <c r="C637" t="s">
        <v>9</v>
      </c>
      <c r="D637">
        <v>94</v>
      </c>
      <c r="E637">
        <v>88</v>
      </c>
      <c r="F637">
        <v>6</v>
      </c>
      <c r="G637">
        <v>3</v>
      </c>
      <c r="H637" s="1">
        <v>9.9537037037037042E-4</v>
      </c>
      <c r="I637">
        <v>2022</v>
      </c>
      <c r="J637" t="s">
        <v>59</v>
      </c>
      <c r="K637" s="2" t="str">
        <f>HYPERLINK("https://www.nba.com/stats/events?CFID=&amp;CFPARAMS=&amp;GameEventID=451&amp;GameID=0022201041&amp;Season=2022-23&amp;flag=1&amp;title=E.%20Gordon%2026'%203PT%20%20(11%20PTS)%20(K.%20Leonard%203%20AST)", "E. Gordon 26' 3PT  (11 PTS) (K. Leonard 3 AST)")</f>
        <v>E. Gordon 26' 3PT  (11 PTS) (K. Leonard 3 AST)</v>
      </c>
      <c r="L637" s="2" t="str">
        <f>HYPERLINK("https://www.nba.com/game/...-vs-...-0022201041/play-by-play?watchFullGame=true", "LAC vs GSW - Q3 01:26.00")</f>
        <v>LAC vs GSW - Q3 01:26.00</v>
      </c>
      <c r="M637">
        <v>26.13</v>
      </c>
      <c r="N637">
        <v>71.53</v>
      </c>
      <c r="O637">
        <v>79.66</v>
      </c>
      <c r="P637">
        <v>148</v>
      </c>
      <c r="Q637">
        <v>215</v>
      </c>
      <c r="R637">
        <v>71</v>
      </c>
      <c r="S637">
        <v>79</v>
      </c>
      <c r="T637" t="s">
        <v>58</v>
      </c>
    </row>
    <row r="638" spans="1:20" x14ac:dyDescent="0.25">
      <c r="A638">
        <v>42200171</v>
      </c>
      <c r="B638" t="s">
        <v>4</v>
      </c>
      <c r="C638" t="s">
        <v>9</v>
      </c>
      <c r="D638">
        <v>2</v>
      </c>
      <c r="E638">
        <v>0</v>
      </c>
      <c r="F638">
        <v>2</v>
      </c>
      <c r="G638">
        <v>1</v>
      </c>
      <c r="H638" s="1">
        <v>7.0949074074074074E-3</v>
      </c>
      <c r="I638" t="s">
        <v>67</v>
      </c>
      <c r="J638" t="s">
        <v>59</v>
      </c>
      <c r="K638" s="2" t="str">
        <f>HYPERLINK("https://www.nba.com/stats/events?CFID=&amp;CFPARAMS=&amp;GameEventID=21&amp;GameID=0042200171&amp;Season=2022-23&amp;flag=1&amp;title=E.%20Gordon%2022'%20step%20back%20Jump%20Shot%20(2%20PTS)%20(K.%20Leonard%201%20AST)", "E. Gordon 22' step back Jump Shot (2 PTS) (K. Leonard 1 AST)")</f>
        <v>E. Gordon 22' step back Jump Shot (2 PTS) (K. Leonard 1 AST)</v>
      </c>
      <c r="L638" s="2" t="str">
        <f>HYPERLINK("https://www.nba.com/game/...-vs-...-0042200171/play-by-play?watchFullGame=true", "LAC vs PHX - Q1 10:13.00")</f>
        <v>LAC vs PHX - Q1 10:13.00</v>
      </c>
      <c r="M638">
        <v>22.18</v>
      </c>
      <c r="N638">
        <v>71.040000000000006</v>
      </c>
      <c r="O638">
        <v>43.87</v>
      </c>
      <c r="P638">
        <v>71</v>
      </c>
      <c r="Q638">
        <v>43</v>
      </c>
      <c r="R638">
        <v>71</v>
      </c>
      <c r="S638">
        <v>43</v>
      </c>
      <c r="T638" t="s">
        <v>58</v>
      </c>
    </row>
    <row r="639" spans="1:20" x14ac:dyDescent="0.25">
      <c r="A639">
        <v>21900603</v>
      </c>
      <c r="B639" t="s">
        <v>10</v>
      </c>
      <c r="C639" t="s">
        <v>61</v>
      </c>
      <c r="D639">
        <v>106</v>
      </c>
      <c r="E639">
        <v>71</v>
      </c>
      <c r="F639">
        <v>35</v>
      </c>
      <c r="G639">
        <v>3</v>
      </c>
      <c r="H639" s="1">
        <v>7.0601851851851845E-5</v>
      </c>
      <c r="I639">
        <v>2019</v>
      </c>
      <c r="J639" t="s">
        <v>59</v>
      </c>
      <c r="K639" s="2" t="str">
        <f>HYPERLINK("https://www.nba.com/stats/events?CFID=&amp;CFPARAMS=&amp;GameEventID=459&amp;GameID=0021900603&amp;Season=2019-20&amp;flag=1&amp;title=L.%20Shamet%2028'%203PT%20%20(12%20PTS)%20(K.%20Leonard%204%20AST)", "L. Shamet 28' 3PT  (12 PTS) (K. Leonard 4 AST)")</f>
        <v>L. Shamet 28' 3PT  (12 PTS) (K. Leonard 4 AST)</v>
      </c>
      <c r="L639" s="2" t="str">
        <f>HYPERLINK("https://www.nba.com/game/...-vs-...-0021900603/play-by-play?watchFullGame=true", "LAC vs CLE - Q3 00:06.10")</f>
        <v>LAC vs CLE - Q3 00:06.10</v>
      </c>
      <c r="M639">
        <v>27.98</v>
      </c>
      <c r="N639">
        <v>71.67</v>
      </c>
      <c r="O639">
        <v>84.73</v>
      </c>
      <c r="P639">
        <v>174</v>
      </c>
      <c r="Q639">
        <v>214</v>
      </c>
      <c r="R639">
        <v>71</v>
      </c>
      <c r="S639">
        <v>84</v>
      </c>
      <c r="T639" t="s">
        <v>58</v>
      </c>
    </row>
    <row r="640" spans="1:20" x14ac:dyDescent="0.25">
      <c r="A640">
        <v>22000675</v>
      </c>
      <c r="B640" t="s">
        <v>10</v>
      </c>
      <c r="C640" t="s">
        <v>9</v>
      </c>
      <c r="D640">
        <v>77</v>
      </c>
      <c r="E640">
        <v>59</v>
      </c>
      <c r="F640">
        <v>18</v>
      </c>
      <c r="G640">
        <v>3</v>
      </c>
      <c r="H640" s="1">
        <v>6.0879629629629626E-3</v>
      </c>
      <c r="I640">
        <v>2020</v>
      </c>
      <c r="J640" t="s">
        <v>59</v>
      </c>
      <c r="K640" s="2" t="str">
        <f>HYPERLINK("https://www.nba.com/stats/events?CFID=&amp;CFPARAMS=&amp;GameEventID=370&amp;GameID=0022000675&amp;Season=2020-21&amp;flag=1&amp;title=R.%20Jackson%2024'%203PT%20%20(8%20PTS)%20(K.%20Leonard%203%20AST)", "R. Jackson 24' 3PT  (8 PTS) (K. Leonard 3 AST)")</f>
        <v>R. Jackson 24' 3PT  (8 PTS) (K. Leonard 3 AST)</v>
      </c>
      <c r="L640" s="2" t="str">
        <f>HYPERLINK("https://www.nba.com/game/...-vs-...-0022000675/play-by-play?watchFullGame=true", "LAC vs SAS - Q3 08:46.00")</f>
        <v>LAC vs SAS - Q3 08:46.00</v>
      </c>
      <c r="M640">
        <v>24.94</v>
      </c>
      <c r="N640">
        <v>71.040000000000006</v>
      </c>
      <c r="O640">
        <v>73.599999999999994</v>
      </c>
      <c r="P640">
        <v>118</v>
      </c>
      <c r="Q640">
        <v>220</v>
      </c>
      <c r="R640">
        <v>71</v>
      </c>
      <c r="S640">
        <v>73</v>
      </c>
      <c r="T640" t="s">
        <v>58</v>
      </c>
    </row>
    <row r="641" spans="1:20" x14ac:dyDescent="0.25">
      <c r="A641">
        <v>22000756</v>
      </c>
      <c r="B641" t="s">
        <v>10</v>
      </c>
      <c r="C641" t="s">
        <v>9</v>
      </c>
      <c r="D641">
        <v>16</v>
      </c>
      <c r="E641">
        <v>7</v>
      </c>
      <c r="F641">
        <v>9</v>
      </c>
      <c r="G641">
        <v>1</v>
      </c>
      <c r="H641" s="1">
        <v>5.3356481481481484E-3</v>
      </c>
      <c r="I641">
        <v>2020</v>
      </c>
      <c r="J641" t="s">
        <v>59</v>
      </c>
      <c r="K641" s="2" t="str">
        <f>HYPERLINK("https://www.nba.com/stats/events?CFID=&amp;CFPARAMS=&amp;GameEventID=42&amp;GameID=0022000756&amp;Season=2020-21&amp;flag=1&amp;title=M.%20Morris%20Sr.%2025'%203PT%20%20(7%20PTS)%20(K.%20Leonard%201%20AST)", "M. Morris Sr. 25' 3PT  (7 PTS) (K. Leonard 1 AST)")</f>
        <v>M. Morris Sr. 25' 3PT  (7 PTS) (K. Leonard 1 AST)</v>
      </c>
      <c r="L641" s="2" t="str">
        <f>HYPERLINK("https://www.nba.com/game/...-vs-...-0022000756/play-by-play?watchFullGame=true", "LAC vs LAL - Q1 07:41.00")</f>
        <v>LAC vs LAL - Q1 07:41.00</v>
      </c>
      <c r="M641">
        <v>25.98</v>
      </c>
      <c r="N641">
        <v>71.569999999999993</v>
      </c>
      <c r="O641">
        <v>79.239999999999995</v>
      </c>
      <c r="P641">
        <v>146</v>
      </c>
      <c r="Q641">
        <v>215</v>
      </c>
      <c r="R641">
        <v>71</v>
      </c>
      <c r="S641">
        <v>79</v>
      </c>
      <c r="T641" t="s">
        <v>58</v>
      </c>
    </row>
    <row r="642" spans="1:20" x14ac:dyDescent="0.25">
      <c r="A642">
        <v>22300526</v>
      </c>
      <c r="B642" t="s">
        <v>10</v>
      </c>
      <c r="C642" t="s">
        <v>9</v>
      </c>
      <c r="D642">
        <v>124</v>
      </c>
      <c r="E642">
        <v>118</v>
      </c>
      <c r="F642">
        <v>6</v>
      </c>
      <c r="G642">
        <v>4</v>
      </c>
      <c r="H642" s="1">
        <v>4.2013888888888884E-4</v>
      </c>
      <c r="I642">
        <v>2023</v>
      </c>
      <c r="J642" t="s">
        <v>59</v>
      </c>
      <c r="K642" s="2" t="str">
        <f>HYPERLINK("https://www.nba.com/stats/events?CFID=&amp;CFPARAMS=&amp;GameEventID=601&amp;GameID=0022300526&amp;Season=2023-24&amp;flag=1&amp;title=P.%20George%2026'%203PT%20%20(29%20PTS)%20(K.%20Leonard%207%20AST)", "P. George 26' 3PT  (29 PTS) (K. Leonard 7 AST)")</f>
        <v>P. George 26' 3PT  (29 PTS) (K. Leonard 7 AST)</v>
      </c>
      <c r="L642" s="2" t="str">
        <f>HYPERLINK("https://www.nba.com/game/...-vs-...-0022300526/play-by-play?watchFullGame=true", "LAC vs TOR - Q4 00:36.30")</f>
        <v>LAC vs TOR - Q4 00:36.30</v>
      </c>
      <c r="M642">
        <v>26.72</v>
      </c>
      <c r="N642">
        <v>71.8</v>
      </c>
      <c r="O642">
        <v>82.35</v>
      </c>
      <c r="P642">
        <v>162</v>
      </c>
      <c r="Q642">
        <v>213</v>
      </c>
      <c r="R642">
        <v>71</v>
      </c>
      <c r="S642">
        <v>82</v>
      </c>
      <c r="T642" t="s">
        <v>58</v>
      </c>
    </row>
    <row r="643" spans="1:20" x14ac:dyDescent="0.25">
      <c r="A643">
        <v>22300865</v>
      </c>
      <c r="B643" t="s">
        <v>10</v>
      </c>
      <c r="C643" t="s">
        <v>9</v>
      </c>
      <c r="D643">
        <v>22</v>
      </c>
      <c r="E643">
        <v>17</v>
      </c>
      <c r="F643">
        <v>5</v>
      </c>
      <c r="G643">
        <v>1</v>
      </c>
      <c r="H643" s="1">
        <v>3.2291666666666666E-3</v>
      </c>
      <c r="I643">
        <v>2023</v>
      </c>
      <c r="J643" t="s">
        <v>59</v>
      </c>
      <c r="K643" s="2" t="str">
        <f>HYPERLINK("https://www.nba.com/stats/events?CFID=&amp;CFPARAMS=&amp;GameEventID=79&amp;GameID=0022300865&amp;Season=2023-24&amp;flag=1&amp;title=P.%20George%2025'%203PT%20%20(11%20PTS)%20(K.%20Leonard%201%20AST)", "P. George 25' 3PT  (11 PTS) (K. Leonard 1 AST)")</f>
        <v>P. George 25' 3PT  (11 PTS) (K. Leonard 1 AST)</v>
      </c>
      <c r="L643" s="2" t="str">
        <f>HYPERLINK("https://www.nba.com/game/...-vs-...-0022300865/play-by-play?watchFullGame=true", "LAC vs WAS - Q1 04:39.00")</f>
        <v>LAC vs WAS - Q1 04:39.00</v>
      </c>
      <c r="M643">
        <v>25.85</v>
      </c>
      <c r="N643">
        <v>71.27</v>
      </c>
      <c r="O643">
        <v>22.06</v>
      </c>
      <c r="P643">
        <v>-140</v>
      </c>
      <c r="Q643">
        <v>218</v>
      </c>
      <c r="R643">
        <v>71</v>
      </c>
      <c r="S643">
        <v>22</v>
      </c>
      <c r="T643" t="s">
        <v>58</v>
      </c>
    </row>
    <row r="644" spans="1:20" x14ac:dyDescent="0.25">
      <c r="A644">
        <v>22300688</v>
      </c>
      <c r="B644" t="s">
        <v>10</v>
      </c>
      <c r="C644" t="s">
        <v>9</v>
      </c>
      <c r="D644">
        <v>17</v>
      </c>
      <c r="E644">
        <v>26</v>
      </c>
      <c r="F644">
        <v>9</v>
      </c>
      <c r="G644">
        <v>1</v>
      </c>
      <c r="H644" s="1">
        <v>2.3379629629629631E-3</v>
      </c>
      <c r="I644">
        <v>2023</v>
      </c>
      <c r="J644" t="s">
        <v>59</v>
      </c>
      <c r="K644" s="2" t="str">
        <f>HYPERLINK("https://www.nba.com/stats/events?CFID=&amp;CFPARAMS=&amp;GameEventID=99&amp;GameID=0022300688&amp;Season=2023-24&amp;flag=1&amp;title=R.%20Westbrook%2026'%203PT%20%20(3%20PTS)%20(K.%20Leonard%201%20AST)", "R. Westbrook 26' 3PT  (3 PTS) (K. Leonard 1 AST)")</f>
        <v>R. Westbrook 26' 3PT  (3 PTS) (K. Leonard 1 AST)</v>
      </c>
      <c r="L644" s="2" t="str">
        <f>HYPERLINK("https://www.nba.com/game/...-vs-...-0022300688/play-by-play?watchFullGame=true", "LAC vs DET - Q1 03:22.00")</f>
        <v>LAC vs DET - Q1 03:22.00</v>
      </c>
      <c r="M644">
        <v>26.3</v>
      </c>
      <c r="N644">
        <v>71.040000000000006</v>
      </c>
      <c r="O644">
        <v>78.92</v>
      </c>
      <c r="P644">
        <v>145</v>
      </c>
      <c r="Q644">
        <v>220</v>
      </c>
      <c r="R644">
        <v>71</v>
      </c>
      <c r="S644">
        <v>78</v>
      </c>
      <c r="T644" t="s">
        <v>58</v>
      </c>
    </row>
    <row r="645" spans="1:20" x14ac:dyDescent="0.25">
      <c r="A645">
        <v>22300807</v>
      </c>
      <c r="B645" t="s">
        <v>10</v>
      </c>
      <c r="C645" t="s">
        <v>9</v>
      </c>
      <c r="D645">
        <v>56</v>
      </c>
      <c r="E645">
        <v>59</v>
      </c>
      <c r="F645">
        <v>3</v>
      </c>
      <c r="G645">
        <v>3</v>
      </c>
      <c r="H645" s="1">
        <v>7.789351851851852E-3</v>
      </c>
      <c r="I645">
        <v>2023</v>
      </c>
      <c r="J645" t="s">
        <v>59</v>
      </c>
      <c r="K645" s="2" t="str">
        <f>HYPERLINK("https://www.nba.com/stats/events?CFID=&amp;CFPARAMS=&amp;GameEventID=335&amp;GameID=0022300807&amp;Season=2023-24&amp;flag=1&amp;title=T.%20Mann%2025'%203PT%20%20(16%20PTS)%20(K.%20Leonard%202%20AST)", "T. Mann 25' 3PT  (16 PTS) (K. Leonard 2 AST)")</f>
        <v>T. Mann 25' 3PT  (16 PTS) (K. Leonard 2 AST)</v>
      </c>
      <c r="L645" s="2" t="str">
        <f>HYPERLINK("https://www.nba.com/game/...-vs-...-0022300807/play-by-play?watchFullGame=true", "LAC vs MEM - Q3 11:13.00")</f>
        <v>LAC vs MEM - Q3 11:13.00</v>
      </c>
      <c r="M645">
        <v>25.5</v>
      </c>
      <c r="N645">
        <v>71.3</v>
      </c>
      <c r="O645">
        <v>23.28</v>
      </c>
      <c r="P645">
        <v>-134</v>
      </c>
      <c r="Q645">
        <v>217</v>
      </c>
      <c r="R645">
        <v>71</v>
      </c>
      <c r="S645">
        <v>23</v>
      </c>
      <c r="T645" t="s">
        <v>58</v>
      </c>
    </row>
    <row r="646" spans="1:20" x14ac:dyDescent="0.25">
      <c r="A646">
        <v>22400911</v>
      </c>
      <c r="B646" t="s">
        <v>10</v>
      </c>
      <c r="C646" t="s">
        <v>9</v>
      </c>
      <c r="D646">
        <v>39</v>
      </c>
      <c r="E646">
        <v>45</v>
      </c>
      <c r="F646">
        <v>6</v>
      </c>
      <c r="G646">
        <v>2</v>
      </c>
      <c r="H646" s="1">
        <v>4.0046296296296297E-3</v>
      </c>
      <c r="I646">
        <v>2024</v>
      </c>
      <c r="J646" t="s">
        <v>59</v>
      </c>
      <c r="K646" s="2" t="str">
        <f>HYPERLINK("https://www.nba.com/stats/events?CFID=&amp;CFPARAMS=&amp;GameEventID=222&amp;GameID=0022400911&amp;Season=2024-25&amp;flag=1&amp;title=J.%20Harden%2025'%203PT%20%20(13%20PTS)%20(K.%20Leonard%202%20AST)", "J. Harden 25' 3PT  (13 PTS) (K. Leonard 2 AST)")</f>
        <v>J. Harden 25' 3PT  (13 PTS) (K. Leonard 2 AST)</v>
      </c>
      <c r="L646" s="2" t="str">
        <f>HYPERLINK("https://www.nba.com/game/...-vs-...-0022400911/play-by-play?watchFullGame=true", "LAC vs NYK - Q2 05:46.00")</f>
        <v>LAC vs NYK - Q2 05:46.00</v>
      </c>
      <c r="M646">
        <v>25.05</v>
      </c>
      <c r="N646">
        <v>71.7</v>
      </c>
      <c r="O646">
        <v>76.23</v>
      </c>
      <c r="P646">
        <v>131</v>
      </c>
      <c r="Q646">
        <v>214</v>
      </c>
      <c r="R646">
        <v>71</v>
      </c>
      <c r="S646">
        <v>76</v>
      </c>
      <c r="T646" t="s">
        <v>58</v>
      </c>
    </row>
    <row r="647" spans="1:20" x14ac:dyDescent="0.25">
      <c r="A647">
        <v>22400715</v>
      </c>
      <c r="B647" t="s">
        <v>10</v>
      </c>
      <c r="C647" t="s">
        <v>9</v>
      </c>
      <c r="D647">
        <v>36</v>
      </c>
      <c r="E647">
        <v>55</v>
      </c>
      <c r="F647">
        <v>19</v>
      </c>
      <c r="G647">
        <v>2</v>
      </c>
      <c r="H647" s="1">
        <v>5.3587962962962964E-3</v>
      </c>
      <c r="I647">
        <v>2024</v>
      </c>
      <c r="J647" t="s">
        <v>59</v>
      </c>
      <c r="K647" s="2" t="str">
        <f>HYPERLINK("https://www.nba.com/stats/events?CFID=&amp;CFPARAMS=&amp;GameEventID=206&amp;GameID=0022400715&amp;Season=2024-25&amp;flag=1&amp;title=N.%20Batum%2026'%203PT%20%20(3%20PTS)%20(K.%20Leonard%201%20AST)", "N. Batum 26' 3PT  (3 PTS) (K. Leonard 1 AST)")</f>
        <v>N. Batum 26' 3PT  (3 PTS) (K. Leonard 1 AST)</v>
      </c>
      <c r="L647" s="2" t="str">
        <f>HYPERLINK("https://www.nba.com/game/...-vs-...-0022400715/play-by-play?watchFullGame=true", "LAC vs LAL - Q2 07:43.00")</f>
        <v>LAC vs LAL - Q2 07:43.00</v>
      </c>
      <c r="M647">
        <v>26.79</v>
      </c>
      <c r="N647">
        <v>71.7</v>
      </c>
      <c r="O647">
        <v>17.649999999999999</v>
      </c>
      <c r="P647">
        <v>-162</v>
      </c>
      <c r="Q647">
        <v>214</v>
      </c>
      <c r="R647">
        <v>71</v>
      </c>
      <c r="S647">
        <v>17</v>
      </c>
      <c r="T647" t="s">
        <v>58</v>
      </c>
    </row>
    <row r="648" spans="1:20" x14ac:dyDescent="0.25">
      <c r="A648">
        <v>21900305</v>
      </c>
      <c r="B648" t="s">
        <v>10</v>
      </c>
      <c r="C648" t="s">
        <v>61</v>
      </c>
      <c r="D648">
        <v>18</v>
      </c>
      <c r="E648">
        <v>10</v>
      </c>
      <c r="F648">
        <v>8</v>
      </c>
      <c r="G648">
        <v>1</v>
      </c>
      <c r="H648" s="1">
        <v>5.5902777777777773E-3</v>
      </c>
      <c r="I648">
        <v>2019</v>
      </c>
      <c r="J648" t="s">
        <v>59</v>
      </c>
      <c r="K648" s="2" t="str">
        <f>HYPERLINK("https://www.nba.com/stats/events?CFID=&amp;CFPARAMS=&amp;GameEventID=41&amp;GameID=0021900305&amp;Season=2019-20&amp;flag=1&amp;title=P.%20George%2026'%203PT%20%20(8%20PTS)%20(K.%20Leonard%203%20AST)", "P. George 26' 3PT  (8 PTS) (K. Leonard 3 AST)")</f>
        <v>P. George 26' 3PT  (8 PTS) (K. Leonard 3 AST)</v>
      </c>
      <c r="L648" s="2" t="str">
        <f>HYPERLINK("https://www.nba.com/game/...-vs-...-0021900305/play-by-play?watchFullGame=true", "LAC vs POR - Q1 08:03.00")</f>
        <v>LAC vs POR - Q1 08:03.00</v>
      </c>
      <c r="M648">
        <v>26.35</v>
      </c>
      <c r="N648">
        <v>72.319999999999993</v>
      </c>
      <c r="O648">
        <v>19.05</v>
      </c>
      <c r="P648">
        <v>-155</v>
      </c>
      <c r="Q648">
        <v>208</v>
      </c>
      <c r="R648">
        <v>72</v>
      </c>
      <c r="S648">
        <v>19</v>
      </c>
      <c r="T648" t="s">
        <v>58</v>
      </c>
    </row>
    <row r="649" spans="1:20" x14ac:dyDescent="0.25">
      <c r="A649">
        <v>22000061</v>
      </c>
      <c r="B649" t="s">
        <v>10</v>
      </c>
      <c r="C649" t="s">
        <v>9</v>
      </c>
      <c r="D649">
        <v>88</v>
      </c>
      <c r="E649">
        <v>60</v>
      </c>
      <c r="F649">
        <v>28</v>
      </c>
      <c r="G649">
        <v>3</v>
      </c>
      <c r="H649" s="1">
        <v>6.3657407407407404E-3</v>
      </c>
      <c r="I649">
        <v>2020</v>
      </c>
      <c r="J649" t="s">
        <v>59</v>
      </c>
      <c r="K649" s="2" t="str">
        <f>HYPERLINK("https://www.nba.com/stats/events?CFID=&amp;CFPARAMS=&amp;GameEventID=341&amp;GameID=0022000061&amp;Season=2020-21&amp;flag=1&amp;title=P.%20George%2025'%203PT%20%20(18%20PTS)%20(K.%20Leonard%207%20AST)", "P. George 25' 3PT  (18 PTS) (K. Leonard 7 AST)")</f>
        <v>P. George 25' 3PT  (18 PTS) (K. Leonard 7 AST)</v>
      </c>
      <c r="L649" s="2" t="str">
        <f>HYPERLINK("https://www.nba.com/game/...-vs-...-0022000061/play-by-play?watchFullGame=true", "LAC vs POR - Q3 09:10.00")</f>
        <v>LAC vs POR - Q3 09:10.00</v>
      </c>
      <c r="M649">
        <v>25.6</v>
      </c>
      <c r="N649">
        <v>72.09</v>
      </c>
      <c r="O649">
        <v>20.66</v>
      </c>
      <c r="P649">
        <v>-147</v>
      </c>
      <c r="Q649">
        <v>210</v>
      </c>
      <c r="R649">
        <v>72</v>
      </c>
      <c r="S649">
        <v>20</v>
      </c>
      <c r="T649" t="s">
        <v>58</v>
      </c>
    </row>
    <row r="650" spans="1:20" x14ac:dyDescent="0.25">
      <c r="A650">
        <v>21900589</v>
      </c>
      <c r="B650" t="s">
        <v>10</v>
      </c>
      <c r="C650" t="s">
        <v>61</v>
      </c>
      <c r="D650">
        <v>90</v>
      </c>
      <c r="E650">
        <v>105</v>
      </c>
      <c r="F650">
        <v>15</v>
      </c>
      <c r="G650">
        <v>4</v>
      </c>
      <c r="H650" s="1">
        <v>3.9930555555555552E-3</v>
      </c>
      <c r="I650">
        <v>2019</v>
      </c>
      <c r="J650" t="s">
        <v>59</v>
      </c>
      <c r="K650" s="2" t="str">
        <f>HYPERLINK("https://www.nba.com/stats/events?CFID=&amp;CFPARAMS=&amp;GameEventID=586&amp;GameID=0021900589&amp;Season=2019-20&amp;flag=1&amp;title=P.%20Beverley%2025'%203PT%20%20(9%20PTS)%20(K.%20Leonard%204%20AST)", "P. Beverley 25' 3PT  (9 PTS) (K. Leonard 4 AST)")</f>
        <v>P. Beverley 25' 3PT  (9 PTS) (K. Leonard 4 AST)</v>
      </c>
      <c r="L650" s="2" t="str">
        <f>HYPERLINK("https://www.nba.com/game/...-vs-...-0021900589/play-by-play?watchFullGame=true", "LAC vs DEN - Q4 05:45.00")</f>
        <v>LAC vs DEN - Q4 05:45.00</v>
      </c>
      <c r="M650">
        <v>25.18</v>
      </c>
      <c r="N650">
        <v>72.489999999999995</v>
      </c>
      <c r="O650">
        <v>77.27</v>
      </c>
      <c r="P650">
        <v>136</v>
      </c>
      <c r="Q650">
        <v>206</v>
      </c>
      <c r="R650">
        <v>72</v>
      </c>
      <c r="S650">
        <v>77</v>
      </c>
      <c r="T650" t="s">
        <v>58</v>
      </c>
    </row>
    <row r="651" spans="1:20" x14ac:dyDescent="0.25">
      <c r="A651">
        <v>22300372</v>
      </c>
      <c r="B651" t="s">
        <v>10</v>
      </c>
      <c r="C651" t="s">
        <v>9</v>
      </c>
      <c r="D651">
        <v>32</v>
      </c>
      <c r="E651">
        <v>20</v>
      </c>
      <c r="F651">
        <v>12</v>
      </c>
      <c r="G651">
        <v>1</v>
      </c>
      <c r="H651" s="1">
        <v>7.1759259259259259E-4</v>
      </c>
      <c r="I651">
        <v>2023</v>
      </c>
      <c r="J651" t="s">
        <v>59</v>
      </c>
      <c r="K651" s="2" t="str">
        <f>HYPERLINK("https://www.nba.com/stats/events?CFID=&amp;CFPARAMS=&amp;GameEventID=147&amp;GameID=0022300372&amp;Season=2023-24&amp;flag=1&amp;title=D.%20Theis%2025'%203PT%20%20(3%20PTS)%20(K.%20Leonard%201%20AST)", "D. Theis 25' 3PT  (3 PTS) (K. Leonard 1 AST)")</f>
        <v>D. Theis 25' 3PT  (3 PTS) (K. Leonard 1 AST)</v>
      </c>
      <c r="L651" s="2" t="str">
        <f>HYPERLINK("https://www.nba.com/game/...-vs-...-0022300372/play-by-play?watchFullGame=true", "LAC vs DAL - Q1 01:02.00")</f>
        <v>LAC vs DAL - Q1 01:02.00</v>
      </c>
      <c r="M651">
        <v>25.56</v>
      </c>
      <c r="N651">
        <v>72.75</v>
      </c>
      <c r="O651">
        <v>80.88</v>
      </c>
      <c r="P651">
        <v>154</v>
      </c>
      <c r="Q651">
        <v>204</v>
      </c>
      <c r="R651">
        <v>72</v>
      </c>
      <c r="S651">
        <v>80</v>
      </c>
      <c r="T651" t="s">
        <v>58</v>
      </c>
    </row>
    <row r="652" spans="1:20" x14ac:dyDescent="0.25">
      <c r="A652">
        <v>22200476</v>
      </c>
      <c r="B652" t="s">
        <v>10</v>
      </c>
      <c r="C652" t="s">
        <v>9</v>
      </c>
      <c r="D652">
        <v>3</v>
      </c>
      <c r="E652">
        <v>0</v>
      </c>
      <c r="F652">
        <v>3</v>
      </c>
      <c r="G652">
        <v>1</v>
      </c>
      <c r="H652" s="1">
        <v>7.6851851851851855E-3</v>
      </c>
      <c r="I652">
        <v>2022</v>
      </c>
      <c r="J652" t="s">
        <v>59</v>
      </c>
      <c r="K652" s="2" t="str">
        <f>HYPERLINK("https://www.nba.com/stats/events?CFID=&amp;CFPARAMS=&amp;GameEventID=19&amp;GameID=0022200476&amp;Season=2022-23&amp;flag=1&amp;title=P.%20George%2026'%203PT%20%20(3%20PTS)%20(K.%20Leonard%201%20AST)", "P. George 26' 3PT  (3 PTS) (K. Leonard 1 AST)")</f>
        <v>P. George 26' 3PT  (3 PTS) (K. Leonard 1 AST)</v>
      </c>
      <c r="L652" s="2" t="str">
        <f>HYPERLINK("https://www.nba.com/game/...-vs-...-0022200476/play-by-play?watchFullGame=true", "LAC vs CHA - Q1 11:04.00")</f>
        <v>LAC vs CHA - Q1 11:04.00</v>
      </c>
      <c r="M652">
        <v>26.14</v>
      </c>
      <c r="N652">
        <v>72.06</v>
      </c>
      <c r="O652">
        <v>81.13</v>
      </c>
      <c r="P652">
        <v>156</v>
      </c>
      <c r="Q652">
        <v>210</v>
      </c>
      <c r="R652">
        <v>72</v>
      </c>
      <c r="S652">
        <v>81</v>
      </c>
      <c r="T652" t="s">
        <v>58</v>
      </c>
    </row>
    <row r="653" spans="1:20" x14ac:dyDescent="0.25">
      <c r="A653">
        <v>22200810</v>
      </c>
      <c r="B653" t="s">
        <v>10</v>
      </c>
      <c r="C653" t="s">
        <v>9</v>
      </c>
      <c r="D653">
        <v>5</v>
      </c>
      <c r="E653">
        <v>8</v>
      </c>
      <c r="F653">
        <v>3</v>
      </c>
      <c r="G653">
        <v>1</v>
      </c>
      <c r="H653" s="1">
        <v>5.8680555555555552E-3</v>
      </c>
      <c r="I653">
        <v>2022</v>
      </c>
      <c r="J653" t="s">
        <v>59</v>
      </c>
      <c r="K653" s="2" t="str">
        <f>HYPERLINK("https://www.nba.com/stats/events?CFID=&amp;CFPARAMS=&amp;GameEventID=31&amp;GameID=0022200810&amp;Season=2022-23&amp;flag=1&amp;title=T.%20Mann%2024'%203PT%20%20(3%20PTS)%20(K.%20Leonard%201%20AST)", "T. Mann 24' 3PT  (3 PTS) (K. Leonard 1 AST)")</f>
        <v>T. Mann 24' 3PT  (3 PTS) (K. Leonard 1 AST)</v>
      </c>
      <c r="L653" s="2" t="str">
        <f>HYPERLINK("https://www.nba.com/game/...-vs-...-0022200810/play-by-play?watchFullGame=true", "LAC vs BKN - Q1 08:27.00")</f>
        <v>LAC vs BKN - Q1 08:27.00</v>
      </c>
      <c r="M653">
        <v>24.48</v>
      </c>
      <c r="N653">
        <v>72.09</v>
      </c>
      <c r="O653">
        <v>75.25</v>
      </c>
      <c r="P653">
        <v>126</v>
      </c>
      <c r="Q653">
        <v>210</v>
      </c>
      <c r="R653">
        <v>72</v>
      </c>
      <c r="S653">
        <v>75</v>
      </c>
      <c r="T653" t="s">
        <v>58</v>
      </c>
    </row>
    <row r="654" spans="1:20" x14ac:dyDescent="0.25">
      <c r="A654">
        <v>41900231</v>
      </c>
      <c r="B654" t="s">
        <v>10</v>
      </c>
      <c r="C654" t="s">
        <v>61</v>
      </c>
      <c r="D654">
        <v>56</v>
      </c>
      <c r="E654">
        <v>43</v>
      </c>
      <c r="F654">
        <v>13</v>
      </c>
      <c r="G654">
        <v>2</v>
      </c>
      <c r="H654" s="1">
        <v>2.6041666666666665E-3</v>
      </c>
      <c r="I654" t="s">
        <v>62</v>
      </c>
      <c r="J654" t="s">
        <v>59</v>
      </c>
      <c r="K654" s="2" t="str">
        <f>HYPERLINK("https://www.nba.com/stats/events?CFID=&amp;CFPARAMS=&amp;GameEventID=259&amp;GameID=0041900231&amp;Season=2019-20&amp;flag=1&amp;title=P.%20George%2027'%203PT%20%20(10%20PTS)%20(K.%20Leonard%202%20AST)", "P. George 27' 3PT  (10 PTS) (K. Leonard 2 AST)")</f>
        <v>P. George 27' 3PT  (10 PTS) (K. Leonard 2 AST)</v>
      </c>
      <c r="L654" s="2" t="str">
        <f>HYPERLINK("https://www.nba.com/game/...-vs-...-0041900231/play-by-play?watchFullGame=true", "LAC vs DEN - Q2 03:45.00")</f>
        <v>LAC vs DEN - Q2 03:45.00</v>
      </c>
      <c r="M654">
        <v>26.9</v>
      </c>
      <c r="N654">
        <v>72.88</v>
      </c>
      <c r="O654">
        <v>84.14</v>
      </c>
      <c r="P654">
        <v>171</v>
      </c>
      <c r="Q654">
        <v>202</v>
      </c>
      <c r="R654">
        <v>72</v>
      </c>
      <c r="S654">
        <v>84</v>
      </c>
      <c r="T654" t="s">
        <v>58</v>
      </c>
    </row>
    <row r="655" spans="1:20" x14ac:dyDescent="0.25">
      <c r="A655">
        <v>42000177</v>
      </c>
      <c r="B655" t="s">
        <v>10</v>
      </c>
      <c r="C655" t="s">
        <v>9</v>
      </c>
      <c r="D655">
        <v>11</v>
      </c>
      <c r="E655">
        <v>9</v>
      </c>
      <c r="F655">
        <v>2</v>
      </c>
      <c r="G655">
        <v>1</v>
      </c>
      <c r="H655" s="1">
        <v>5.9837962962962961E-3</v>
      </c>
      <c r="I655" t="s">
        <v>66</v>
      </c>
      <c r="J655" t="s">
        <v>59</v>
      </c>
      <c r="K655" s="2" t="str">
        <f>HYPERLINK("https://www.nba.com/stats/events?CFID=&amp;CFPARAMS=&amp;GameEventID=41&amp;GameID=0042000177&amp;Season=2020-21&amp;flag=1&amp;title=M.%20Morris%20Sr.%2025'%203PT%20%20(3%20PTS)%20(K.%20Leonard%201%20AST)", "M. Morris Sr. 25' 3PT  (3 PTS) (K. Leonard 1 AST)")</f>
        <v>M. Morris Sr. 25' 3PT  (3 PTS) (K. Leonard 1 AST)</v>
      </c>
      <c r="L655" s="2" t="str">
        <f>HYPERLINK("https://www.nba.com/game/...-vs-...-0042000177/play-by-play?watchFullGame=true", "LAC vs DAL - Q1 08:37.00")</f>
        <v>LAC vs DAL - Q1 08:37.00</v>
      </c>
      <c r="M655">
        <v>25.47</v>
      </c>
      <c r="N655">
        <v>72.22</v>
      </c>
      <c r="O655">
        <v>79.239999999999995</v>
      </c>
      <c r="P655">
        <v>72</v>
      </c>
      <c r="Q655">
        <v>79</v>
      </c>
      <c r="R655">
        <v>72</v>
      </c>
      <c r="S655">
        <v>79</v>
      </c>
      <c r="T655" t="s">
        <v>58</v>
      </c>
    </row>
    <row r="656" spans="1:20" x14ac:dyDescent="0.25">
      <c r="A656">
        <v>22000009</v>
      </c>
      <c r="B656" t="s">
        <v>10</v>
      </c>
      <c r="C656" t="s">
        <v>9</v>
      </c>
      <c r="D656">
        <v>91</v>
      </c>
      <c r="E656">
        <v>72</v>
      </c>
      <c r="F656">
        <v>19</v>
      </c>
      <c r="G656">
        <v>3</v>
      </c>
      <c r="H656" s="1">
        <v>3.0902777777777777E-3</v>
      </c>
      <c r="I656">
        <v>2020</v>
      </c>
      <c r="J656" t="s">
        <v>59</v>
      </c>
      <c r="K656" s="2" t="str">
        <f>HYPERLINK("https://www.nba.com/stats/events?CFID=&amp;CFPARAMS=&amp;GameEventID=515&amp;GameID=0022000009&amp;Season=2020-21&amp;flag=1&amp;title=N.%20Batum%2025'%203PT%20%20(13%20PTS)%20(K.%20Leonard%206%20AST)", "N. Batum 25' 3PT  (13 PTS) (K. Leonard 6 AST)")</f>
        <v>N. Batum 25' 3PT  (13 PTS) (K. Leonard 6 AST)</v>
      </c>
      <c r="L656" s="2" t="str">
        <f>HYPERLINK("https://www.nba.com/game/...-vs-...-0022000009/play-by-play?watchFullGame=true", "LAC vs DEN - Q3 04:27.00")</f>
        <v>LAC vs DEN - Q3 04:27.00</v>
      </c>
      <c r="M656">
        <v>25.23</v>
      </c>
      <c r="N656">
        <v>72.489999999999995</v>
      </c>
      <c r="O656">
        <v>20.9</v>
      </c>
      <c r="P656">
        <v>-145</v>
      </c>
      <c r="Q656">
        <v>206</v>
      </c>
      <c r="R656">
        <v>72</v>
      </c>
      <c r="S656">
        <v>20</v>
      </c>
      <c r="T656" t="s">
        <v>58</v>
      </c>
    </row>
    <row r="657" spans="1:20" x14ac:dyDescent="0.25">
      <c r="A657">
        <v>21900339</v>
      </c>
      <c r="B657" t="s">
        <v>10</v>
      </c>
      <c r="C657" t="s">
        <v>61</v>
      </c>
      <c r="D657">
        <v>3</v>
      </c>
      <c r="E657">
        <v>0</v>
      </c>
      <c r="F657">
        <v>3</v>
      </c>
      <c r="G657">
        <v>1</v>
      </c>
      <c r="H657" s="1">
        <v>7.8356481481481489E-3</v>
      </c>
      <c r="I657">
        <v>2019</v>
      </c>
      <c r="J657" t="s">
        <v>59</v>
      </c>
      <c r="K657" s="2" t="str">
        <f>HYPERLINK("https://www.nba.com/stats/events?CFID=&amp;CFPARAMS=&amp;GameEventID=10&amp;GameID=0021900339&amp;Season=2019-20&amp;flag=1&amp;title=P.%20Beverley%2025'%203PT%20%20(3%20PTS)%20(K.%20Leonard%201%20AST)", "P. Beverley 25' 3PT  (3 PTS) (K. Leonard 1 AST)")</f>
        <v>P. Beverley 25' 3PT  (3 PTS) (K. Leonard 1 AST)</v>
      </c>
      <c r="L657" s="2" t="str">
        <f>HYPERLINK("https://www.nba.com/game/...-vs-...-0021900339/play-by-play?watchFullGame=true", "LAC vs WAS - Q1 11:17.00")</f>
        <v>LAC vs WAS - Q1 11:17.00</v>
      </c>
      <c r="M657">
        <v>25.16</v>
      </c>
      <c r="N657">
        <v>73.510000000000005</v>
      </c>
      <c r="O657">
        <v>20.03</v>
      </c>
      <c r="P657">
        <v>-150</v>
      </c>
      <c r="Q657">
        <v>197</v>
      </c>
      <c r="R657">
        <v>73</v>
      </c>
      <c r="S657">
        <v>20</v>
      </c>
      <c r="T657" t="s">
        <v>58</v>
      </c>
    </row>
    <row r="658" spans="1:20" x14ac:dyDescent="0.25">
      <c r="A658">
        <v>21900292</v>
      </c>
      <c r="B658" t="s">
        <v>10</v>
      </c>
      <c r="C658" t="s">
        <v>61</v>
      </c>
      <c r="D658">
        <v>3</v>
      </c>
      <c r="E658">
        <v>0</v>
      </c>
      <c r="F658">
        <v>3</v>
      </c>
      <c r="G658">
        <v>1</v>
      </c>
      <c r="H658" s="1">
        <v>8.1712962962962963E-3</v>
      </c>
      <c r="I658">
        <v>2019</v>
      </c>
      <c r="J658" t="s">
        <v>59</v>
      </c>
      <c r="K658" s="2" t="str">
        <f>HYPERLINK("https://www.nba.com/stats/events?CFID=&amp;CFPARAMS=&amp;GameEventID=7&amp;GameID=0021900292&amp;Season=2019-20&amp;flag=1&amp;title=P.%20George%2025'%203PT%20%20(3%20PTS)%20(K.%20Leonard%201%20AST)", "P. George 25' 3PT  (3 PTS) (K. Leonard 1 AST)")</f>
        <v>P. George 25' 3PT  (3 PTS) (K. Leonard 1 AST)</v>
      </c>
      <c r="L658" s="2" t="str">
        <f>HYPERLINK("https://www.nba.com/game/...-vs-...-0021900292/play-by-play?watchFullGame=true", "LAC vs WAS - Q1 11:46.00")</f>
        <v>LAC vs WAS - Q1 11:46.00</v>
      </c>
      <c r="M658">
        <v>25.11</v>
      </c>
      <c r="N658">
        <v>73.37</v>
      </c>
      <c r="O658">
        <v>20.52</v>
      </c>
      <c r="P658">
        <v>-147</v>
      </c>
      <c r="Q658">
        <v>198</v>
      </c>
      <c r="R658">
        <v>73</v>
      </c>
      <c r="S658">
        <v>20</v>
      </c>
      <c r="T658" t="s">
        <v>58</v>
      </c>
    </row>
    <row r="659" spans="1:20" x14ac:dyDescent="0.25">
      <c r="A659">
        <v>22301215</v>
      </c>
      <c r="B659" t="s">
        <v>10</v>
      </c>
      <c r="C659" t="s">
        <v>9</v>
      </c>
      <c r="D659">
        <v>49</v>
      </c>
      <c r="E659">
        <v>48</v>
      </c>
      <c r="F659">
        <v>1</v>
      </c>
      <c r="G659">
        <v>2</v>
      </c>
      <c r="H659" s="1">
        <v>3.2291666666666666E-3</v>
      </c>
      <c r="I659">
        <v>2023</v>
      </c>
      <c r="J659" t="s">
        <v>59</v>
      </c>
      <c r="K659" s="2" t="str">
        <f>HYPERLINK("https://www.nba.com/stats/events?CFID=&amp;CFPARAMS=&amp;GameEventID=266&amp;GameID=0022301215&amp;Season=2023-24&amp;flag=1&amp;title=P.%20George%2025'%203PT%20%20(10%20PTS)%20(K.%20Leonard%203%20AST)", "P. George 25' 3PT  (10 PTS) (K. Leonard 3 AST)")</f>
        <v>P. George 25' 3PT  (10 PTS) (K. Leonard 3 AST)</v>
      </c>
      <c r="L659" s="2" t="str">
        <f>HYPERLINK("https://www.nba.com/game/...-vs-...-0022301215/play-by-play?watchFullGame=true", "LAC vs DEN - Q2 04:39.00")</f>
        <v>LAC vs DEN - Q2 04:39.00</v>
      </c>
      <c r="M659">
        <v>25.15</v>
      </c>
      <c r="N659">
        <v>73.510000000000005</v>
      </c>
      <c r="O659">
        <v>81.37</v>
      </c>
      <c r="P659">
        <v>157</v>
      </c>
      <c r="Q659">
        <v>197</v>
      </c>
      <c r="R659">
        <v>73</v>
      </c>
      <c r="S659">
        <v>81</v>
      </c>
      <c r="T659" t="s">
        <v>58</v>
      </c>
    </row>
    <row r="660" spans="1:20" x14ac:dyDescent="0.25">
      <c r="A660">
        <v>22201096</v>
      </c>
      <c r="B660" t="s">
        <v>10</v>
      </c>
      <c r="C660" t="s">
        <v>9</v>
      </c>
      <c r="D660">
        <v>46</v>
      </c>
      <c r="E660">
        <v>39</v>
      </c>
      <c r="F660">
        <v>7</v>
      </c>
      <c r="G660">
        <v>2</v>
      </c>
      <c r="H660" s="1">
        <v>2.8124999999999999E-3</v>
      </c>
      <c r="I660">
        <v>2022</v>
      </c>
      <c r="J660" t="s">
        <v>59</v>
      </c>
      <c r="K660" s="2" t="str">
        <f>HYPERLINK("https://www.nba.com/stats/events?CFID=&amp;CFPARAMS=&amp;GameEventID=267&amp;GameID=0022201096&amp;Season=2022-23&amp;flag=1&amp;title=E.%20Gordon%2029'%203PT%20%20(3%20PTS)%20(K.%20Leonard%203%20AST)", "E. Gordon 29' 3PT  (3 PTS) (K. Leonard 3 AST)")</f>
        <v>E. Gordon 29' 3PT  (3 PTS) (K. Leonard 3 AST)</v>
      </c>
      <c r="L660" s="2" t="str">
        <f>HYPERLINK("https://www.nba.com/game/...-vs-...-0022201096/play-by-play?watchFullGame=true", "LAC vs OKC - Q2 04:03.00")</f>
        <v>LAC vs OKC - Q2 04:03.00</v>
      </c>
      <c r="M660">
        <v>29.46</v>
      </c>
      <c r="N660">
        <v>73.510000000000005</v>
      </c>
      <c r="O660">
        <v>93.87</v>
      </c>
      <c r="P660">
        <v>219</v>
      </c>
      <c r="Q660">
        <v>197</v>
      </c>
      <c r="R660">
        <v>73</v>
      </c>
      <c r="S660">
        <v>93</v>
      </c>
      <c r="T660" t="s">
        <v>58</v>
      </c>
    </row>
    <row r="661" spans="1:20" x14ac:dyDescent="0.25">
      <c r="A661">
        <v>22300179</v>
      </c>
      <c r="B661" t="s">
        <v>10</v>
      </c>
      <c r="C661" t="s">
        <v>9</v>
      </c>
      <c r="D661">
        <v>62</v>
      </c>
      <c r="E661">
        <v>72</v>
      </c>
      <c r="F661">
        <v>10</v>
      </c>
      <c r="G661">
        <v>3</v>
      </c>
      <c r="H661" s="1">
        <v>3.1134259259259257E-3</v>
      </c>
      <c r="I661">
        <v>2023</v>
      </c>
      <c r="J661" t="s">
        <v>59</v>
      </c>
      <c r="K661" s="2" t="str">
        <f>HYPERLINK("https://www.nba.com/stats/events?CFID=&amp;CFPARAMS=&amp;GameEventID=472&amp;GameID=0022300179&amp;Season=2023-24&amp;flag=1&amp;title=N.%20Powell%2025'%203PT%20%20(8%20PTS)%20(K.%20Leonard%203%20AST)", "N. Powell 25' 3PT  (8 PTS) (K. Leonard 3 AST)")</f>
        <v>N. Powell 25' 3PT  (8 PTS) (K. Leonard 3 AST)</v>
      </c>
      <c r="L661" s="2" t="str">
        <f>HYPERLINK("https://www.nba.com/game/...-vs-...-0022300179/play-by-play?watchFullGame=true", "LAC vs MEM - Q3 04:29.00")</f>
        <v>LAC vs MEM - Q3 04:29.00</v>
      </c>
      <c r="M661">
        <v>25.72</v>
      </c>
      <c r="N661">
        <v>73.900000000000006</v>
      </c>
      <c r="O661">
        <v>15.93</v>
      </c>
      <c r="P661">
        <v>-170</v>
      </c>
      <c r="Q661">
        <v>193</v>
      </c>
      <c r="R661">
        <v>73</v>
      </c>
      <c r="S661">
        <v>15</v>
      </c>
      <c r="T661" t="s">
        <v>58</v>
      </c>
    </row>
    <row r="662" spans="1:20" x14ac:dyDescent="0.25">
      <c r="A662">
        <v>22000142</v>
      </c>
      <c r="B662" t="s">
        <v>10</v>
      </c>
      <c r="C662" t="s">
        <v>9</v>
      </c>
      <c r="D662">
        <v>59</v>
      </c>
      <c r="E662">
        <v>63</v>
      </c>
      <c r="F662">
        <v>4</v>
      </c>
      <c r="G662">
        <v>3</v>
      </c>
      <c r="H662" s="1">
        <v>7.3958333333333333E-3</v>
      </c>
      <c r="I662">
        <v>2020</v>
      </c>
      <c r="J662" t="s">
        <v>59</v>
      </c>
      <c r="K662" s="2" t="str">
        <f>HYPERLINK("https://www.nba.com/stats/events?CFID=&amp;CFPARAMS=&amp;GameEventID=343&amp;GameID=0022000142&amp;Season=2020-21&amp;flag=1&amp;title=P.%20Beverley%2025'%203PT%20%20(5%20PTS)%20(K.%20Leonard%202%20AST)", "P. Beverley 25' 3PT  (5 PTS) (K. Leonard 2 AST)")</f>
        <v>P. Beverley 25' 3PT  (5 PTS) (K. Leonard 2 AST)</v>
      </c>
      <c r="L662" s="2" t="str">
        <f>HYPERLINK("https://www.nba.com/game/...-vs-...-0022000142/play-by-play?watchFullGame=true", "LAC vs CHI - Q3 10:39.00")</f>
        <v>LAC vs CHI - Q3 10:39.00</v>
      </c>
      <c r="M662">
        <v>25.79</v>
      </c>
      <c r="N662">
        <v>73.010000000000005</v>
      </c>
      <c r="O662">
        <v>17.72</v>
      </c>
      <c r="P662">
        <v>-161</v>
      </c>
      <c r="Q662">
        <v>201</v>
      </c>
      <c r="R662">
        <v>73</v>
      </c>
      <c r="S662">
        <v>17</v>
      </c>
      <c r="T662" t="s">
        <v>58</v>
      </c>
    </row>
    <row r="663" spans="1:20" x14ac:dyDescent="0.25">
      <c r="A663">
        <v>22200735</v>
      </c>
      <c r="B663" t="s">
        <v>10</v>
      </c>
      <c r="C663" t="s">
        <v>9</v>
      </c>
      <c r="D663">
        <v>58</v>
      </c>
      <c r="E663">
        <v>40</v>
      </c>
      <c r="F663">
        <v>18</v>
      </c>
      <c r="G663">
        <v>2</v>
      </c>
      <c r="H663" s="1">
        <v>4.178240740740741E-3</v>
      </c>
      <c r="I663">
        <v>2022</v>
      </c>
      <c r="J663" t="s">
        <v>59</v>
      </c>
      <c r="K663" s="2" t="str">
        <f>HYPERLINK("https://www.nba.com/stats/events?CFID=&amp;CFPARAMS=&amp;GameEventID=243&amp;GameID=0022200735&amp;Season=2022-23&amp;flag=1&amp;title=N.%20Batum%2025'%203PT%20%20(3%20PTS)%20(K.%20Leonard%206%20AST)", "N. Batum 25' 3PT  (3 PTS) (K. Leonard 6 AST)")</f>
        <v>N. Batum 25' 3PT  (3 PTS) (K. Leonard 6 AST)</v>
      </c>
      <c r="L663" s="2" t="str">
        <f>HYPERLINK("https://www.nba.com/game/...-vs-...-0022200735/play-by-play?watchFullGame=true", "LAC vs SAS - Q2 06:01.00")</f>
        <v>LAC vs SAS - Q2 06:01.00</v>
      </c>
      <c r="M663">
        <v>25.35</v>
      </c>
      <c r="N663">
        <v>73.77</v>
      </c>
      <c r="O663">
        <v>17.399999999999999</v>
      </c>
      <c r="P663">
        <v>-163</v>
      </c>
      <c r="Q663">
        <v>194</v>
      </c>
      <c r="R663">
        <v>73</v>
      </c>
      <c r="S663">
        <v>17</v>
      </c>
      <c r="T663" t="s">
        <v>58</v>
      </c>
    </row>
    <row r="664" spans="1:20" x14ac:dyDescent="0.25">
      <c r="A664">
        <v>22300473</v>
      </c>
      <c r="B664" t="s">
        <v>10</v>
      </c>
      <c r="C664" t="s">
        <v>9</v>
      </c>
      <c r="D664">
        <v>22</v>
      </c>
      <c r="E664">
        <v>13</v>
      </c>
      <c r="F664">
        <v>9</v>
      </c>
      <c r="G664">
        <v>1</v>
      </c>
      <c r="H664" s="1">
        <v>3.7037037037037038E-3</v>
      </c>
      <c r="I664">
        <v>2023</v>
      </c>
      <c r="J664" t="s">
        <v>59</v>
      </c>
      <c r="K664" s="2" t="str">
        <f>HYPERLINK("https://www.nba.com/stats/events?CFID=&amp;CFPARAMS=&amp;GameEventID=68&amp;GameID=0022300473&amp;Season=2023-24&amp;flag=1&amp;title=P.%20George%2025'%203PT%20%20(12%20PTS)%20(K.%20Leonard%202%20AST)", "P. George 25' 3PT  (12 PTS) (K. Leonard 2 AST)")</f>
        <v>P. George 25' 3PT  (12 PTS) (K. Leonard 2 AST)</v>
      </c>
      <c r="L664" s="2" t="str">
        <f>HYPERLINK("https://www.nba.com/game/...-vs-...-0022300473/play-by-play?watchFullGame=true", "LAC vs PHX - Q1 05:20.00")</f>
        <v>LAC vs PHX - Q1 05:20.00</v>
      </c>
      <c r="M664">
        <v>25.42</v>
      </c>
      <c r="N664">
        <v>73.67</v>
      </c>
      <c r="O664">
        <v>17.399999999999999</v>
      </c>
      <c r="P664">
        <v>-163</v>
      </c>
      <c r="Q664">
        <v>195</v>
      </c>
      <c r="R664">
        <v>73</v>
      </c>
      <c r="S664">
        <v>17</v>
      </c>
      <c r="T664" t="s">
        <v>58</v>
      </c>
    </row>
    <row r="665" spans="1:20" x14ac:dyDescent="0.25">
      <c r="A665">
        <v>22300731</v>
      </c>
      <c r="B665" t="s">
        <v>4</v>
      </c>
      <c r="C665" t="s">
        <v>9</v>
      </c>
      <c r="D665">
        <v>89</v>
      </c>
      <c r="E665">
        <v>101</v>
      </c>
      <c r="F665">
        <v>12</v>
      </c>
      <c r="G665">
        <v>4</v>
      </c>
      <c r="H665" s="1">
        <v>4.4444444444444444E-3</v>
      </c>
      <c r="I665">
        <v>2023</v>
      </c>
      <c r="J665" t="s">
        <v>59</v>
      </c>
      <c r="K665" s="2" t="str">
        <f>HYPERLINK("https://www.nba.com/stats/events?CFID=&amp;CFPARAMS=&amp;GameEventID=553&amp;GameID=0022300731&amp;Season=2023-24&amp;flag=1&amp;title=P.%20George%2021'%20Jump%20Shot%20(7%20PTS)%20(K.%20Leonard%204%20AST)", "P. George 21' Jump Shot (7 PTS) (K. Leonard 4 AST)")</f>
        <v>P. George 21' Jump Shot (7 PTS) (K. Leonard 4 AST)</v>
      </c>
      <c r="L665" s="2" t="str">
        <f>HYPERLINK("https://www.nba.com/game/...-vs-...-0022300731/play-by-play?watchFullGame=true", "LAC vs NOP - Q4 06:24.00")</f>
        <v>LAC vs NOP - Q4 06:24.00</v>
      </c>
      <c r="M665">
        <v>21.82</v>
      </c>
      <c r="N665">
        <v>73.010000000000005</v>
      </c>
      <c r="O665">
        <v>66.89</v>
      </c>
      <c r="P665">
        <v>84</v>
      </c>
      <c r="Q665">
        <v>201</v>
      </c>
      <c r="R665">
        <v>73</v>
      </c>
      <c r="S665">
        <v>66</v>
      </c>
      <c r="T665" t="s">
        <v>58</v>
      </c>
    </row>
    <row r="666" spans="1:20" x14ac:dyDescent="0.25">
      <c r="A666">
        <v>22400911</v>
      </c>
      <c r="B666" t="s">
        <v>10</v>
      </c>
      <c r="C666" t="s">
        <v>9</v>
      </c>
      <c r="D666">
        <v>50</v>
      </c>
      <c r="E666">
        <v>49</v>
      </c>
      <c r="F666">
        <v>1</v>
      </c>
      <c r="G666">
        <v>2</v>
      </c>
      <c r="H666" s="1">
        <v>2.3958333333333331E-3</v>
      </c>
      <c r="I666">
        <v>2024</v>
      </c>
      <c r="J666" t="s">
        <v>59</v>
      </c>
      <c r="K666" s="2" t="str">
        <f>HYPERLINK("https://www.nba.com/stats/events?CFID=&amp;CFPARAMS=&amp;GameEventID=248&amp;GameID=0022400911&amp;Season=2024-25&amp;flag=1&amp;title=N.%20Batum%2026'%203PT%20%20(14%20PTS)%20(K.%20Leonard%204%20AST)", "N. Batum 26' 3PT  (14 PTS) (K. Leonard 4 AST)")</f>
        <v>N. Batum 26' 3PT  (14 PTS) (K. Leonard 4 AST)</v>
      </c>
      <c r="L666" s="2" t="str">
        <f>HYPERLINK("https://www.nba.com/game/...-vs-...-0022400911/play-by-play?watchFullGame=true", "LAC vs NYK - Q2 03:27.00")</f>
        <v>LAC vs NYK - Q2 03:27.00</v>
      </c>
      <c r="M666">
        <v>26.13</v>
      </c>
      <c r="N666">
        <v>73.010000000000005</v>
      </c>
      <c r="O666">
        <v>16.670000000000002</v>
      </c>
      <c r="P666">
        <v>-167</v>
      </c>
      <c r="Q666">
        <v>201</v>
      </c>
      <c r="R666">
        <v>73</v>
      </c>
      <c r="S666">
        <v>16</v>
      </c>
      <c r="T666" t="s">
        <v>58</v>
      </c>
    </row>
    <row r="667" spans="1:20" x14ac:dyDescent="0.25">
      <c r="A667">
        <v>41900153</v>
      </c>
      <c r="B667" t="s">
        <v>10</v>
      </c>
      <c r="C667" t="s">
        <v>61</v>
      </c>
      <c r="D667">
        <v>78</v>
      </c>
      <c r="E667">
        <v>63</v>
      </c>
      <c r="F667">
        <v>15</v>
      </c>
      <c r="G667">
        <v>3</v>
      </c>
      <c r="H667" s="1">
        <v>5.4050925925925924E-3</v>
      </c>
      <c r="I667" t="s">
        <v>68</v>
      </c>
      <c r="J667" t="s">
        <v>59</v>
      </c>
      <c r="K667" s="2" t="str">
        <f>HYPERLINK("https://www.nba.com/stats/events?CFID=&amp;CFPARAMS=&amp;GameEventID=386&amp;GameID=0041900153&amp;Season=2019-20&amp;flag=1&amp;title=L.%20Shamet%2025'%203PT%20%20(13%20PTS)%20(K.%20Leonard%207%20AST)", "L. Shamet 25' 3PT  (13 PTS) (K. Leonard 7 AST)")</f>
        <v>L. Shamet 25' 3PT  (13 PTS) (K. Leonard 7 AST)</v>
      </c>
      <c r="L667" s="2" t="str">
        <f>HYPERLINK("https://www.nba.com/game/...-vs-...-0041900153/play-by-play?watchFullGame=true", "LAC vs DAL - Q3 07:47.00")</f>
        <v>LAC vs DAL - Q3 07:47.00</v>
      </c>
      <c r="M667">
        <v>25.23</v>
      </c>
      <c r="N667">
        <v>73.41</v>
      </c>
      <c r="O667">
        <v>79.97</v>
      </c>
      <c r="P667">
        <v>150</v>
      </c>
      <c r="Q667">
        <v>197</v>
      </c>
      <c r="R667">
        <v>73</v>
      </c>
      <c r="S667">
        <v>79</v>
      </c>
      <c r="T667" t="s">
        <v>58</v>
      </c>
    </row>
    <row r="668" spans="1:20" x14ac:dyDescent="0.25">
      <c r="A668">
        <v>21900305</v>
      </c>
      <c r="B668" t="s">
        <v>10</v>
      </c>
      <c r="C668" t="s">
        <v>61</v>
      </c>
      <c r="D668">
        <v>15</v>
      </c>
      <c r="E668">
        <v>8</v>
      </c>
      <c r="F668">
        <v>7</v>
      </c>
      <c r="G668">
        <v>1</v>
      </c>
      <c r="H668" s="1">
        <v>5.8796296296296296E-3</v>
      </c>
      <c r="I668">
        <v>2019</v>
      </c>
      <c r="J668" t="s">
        <v>59</v>
      </c>
      <c r="K668" s="2" t="str">
        <f>HYPERLINK("https://www.nba.com/stats/events?CFID=&amp;CFPARAMS=&amp;GameEventID=38&amp;GameID=0021900305&amp;Season=2019-20&amp;flag=1&amp;title=P.%20Beverley%2026'%203PT%20%20(5%20PTS)%20(K.%20Leonard%202%20AST)", "P. Beverley 26' 3PT  (5 PTS) (K. Leonard 2 AST)")</f>
        <v>P. Beverley 26' 3PT  (5 PTS) (K. Leonard 2 AST)</v>
      </c>
      <c r="L668" s="2" t="str">
        <f>HYPERLINK("https://www.nba.com/game/...-vs-...-0021900305/play-by-play?watchFullGame=true", "LAC vs POR - Q1 08:28.00")</f>
        <v>LAC vs POR - Q1 08:28.00</v>
      </c>
      <c r="M668">
        <v>25.81</v>
      </c>
      <c r="N668">
        <v>74.69</v>
      </c>
      <c r="O668">
        <v>84.73</v>
      </c>
      <c r="P668">
        <v>174</v>
      </c>
      <c r="Q668">
        <v>185</v>
      </c>
      <c r="R668">
        <v>74</v>
      </c>
      <c r="S668">
        <v>84</v>
      </c>
      <c r="T668" t="s">
        <v>58</v>
      </c>
    </row>
    <row r="669" spans="1:20" x14ac:dyDescent="0.25">
      <c r="A669">
        <v>21900485</v>
      </c>
      <c r="B669" t="s">
        <v>10</v>
      </c>
      <c r="C669" t="s">
        <v>61</v>
      </c>
      <c r="D669">
        <v>100</v>
      </c>
      <c r="E669">
        <v>101</v>
      </c>
      <c r="F669">
        <v>1</v>
      </c>
      <c r="G669">
        <v>4</v>
      </c>
      <c r="H669" s="1">
        <v>5.4976851851851853E-3</v>
      </c>
      <c r="I669">
        <v>2019</v>
      </c>
      <c r="J669" t="s">
        <v>59</v>
      </c>
      <c r="K669" s="2" t="str">
        <f>HYPERLINK("https://www.nba.com/stats/events?CFID=&amp;CFPARAMS=&amp;GameEventID=563&amp;GameID=0021900485&amp;Season=2019-20&amp;flag=1&amp;title=L.%20Shamet%2026'%203PT%20%20(13%20PTS)%20(K.%20Leonard%206%20AST)", "L. Shamet 26' 3PT  (13 PTS) (K. Leonard 6 AST)")</f>
        <v>L. Shamet 26' 3PT  (13 PTS) (K. Leonard 6 AST)</v>
      </c>
      <c r="L669" s="2" t="str">
        <f>HYPERLINK("https://www.nba.com/game/...-vs-...-0021900485/play-by-play?watchFullGame=true", "LAC vs UTA - Q4 07:55.00")</f>
        <v>LAC vs UTA - Q4 07:55.00</v>
      </c>
      <c r="M669">
        <v>25.91</v>
      </c>
      <c r="N669">
        <v>74.56</v>
      </c>
      <c r="O669">
        <v>84.73</v>
      </c>
      <c r="P669">
        <v>174</v>
      </c>
      <c r="Q669">
        <v>187</v>
      </c>
      <c r="R669">
        <v>74</v>
      </c>
      <c r="S669">
        <v>84</v>
      </c>
      <c r="T669" t="s">
        <v>58</v>
      </c>
    </row>
    <row r="670" spans="1:20" x14ac:dyDescent="0.25">
      <c r="A670">
        <v>22300618</v>
      </c>
      <c r="B670" t="s">
        <v>10</v>
      </c>
      <c r="C670" t="s">
        <v>9</v>
      </c>
      <c r="D670">
        <v>5</v>
      </c>
      <c r="E670">
        <v>3</v>
      </c>
      <c r="F670">
        <v>2</v>
      </c>
      <c r="G670">
        <v>1</v>
      </c>
      <c r="H670" s="1">
        <v>7.1180555555555554E-3</v>
      </c>
      <c r="I670">
        <v>2023</v>
      </c>
      <c r="J670" t="s">
        <v>59</v>
      </c>
      <c r="K670" s="2" t="str">
        <f>HYPERLINK("https://www.nba.com/stats/events?CFID=&amp;CFPARAMS=&amp;GameEventID=19&amp;GameID=0022300618&amp;Season=2023-24&amp;flag=1&amp;title=T.%20Mann%2025'%203PT%20%20(3%20PTS)%20(K.%20Leonard%201%20AST)", "T. Mann 25' 3PT  (3 PTS) (K. Leonard 1 AST)")</f>
        <v>T. Mann 25' 3PT  (3 PTS) (K. Leonard 1 AST)</v>
      </c>
      <c r="L670" s="2" t="str">
        <f>HYPERLINK("https://www.nba.com/game/...-vs-...-0022300618/play-by-play?watchFullGame=true", "LAC vs LAL - Q1 10:15.00")</f>
        <v>LAC vs LAL - Q1 10:15.00</v>
      </c>
      <c r="M670">
        <v>25.78</v>
      </c>
      <c r="N670">
        <v>74.430000000000007</v>
      </c>
      <c r="O670">
        <v>14.71</v>
      </c>
      <c r="P670">
        <v>-176</v>
      </c>
      <c r="Q670">
        <v>188</v>
      </c>
      <c r="R670">
        <v>74</v>
      </c>
      <c r="S670">
        <v>14</v>
      </c>
      <c r="T670" t="s">
        <v>58</v>
      </c>
    </row>
    <row r="671" spans="1:20" x14ac:dyDescent="0.25">
      <c r="A671">
        <v>22300473</v>
      </c>
      <c r="B671" t="s">
        <v>10</v>
      </c>
      <c r="C671" t="s">
        <v>9</v>
      </c>
      <c r="D671">
        <v>8</v>
      </c>
      <c r="E671">
        <v>4</v>
      </c>
      <c r="F671">
        <v>4</v>
      </c>
      <c r="G671">
        <v>1</v>
      </c>
      <c r="H671" s="1">
        <v>5.8101851851851856E-3</v>
      </c>
      <c r="I671">
        <v>2023</v>
      </c>
      <c r="J671" t="s">
        <v>59</v>
      </c>
      <c r="K671" s="2" t="str">
        <f>HYPERLINK("https://www.nba.com/stats/events?CFID=&amp;CFPARAMS=&amp;GameEventID=34&amp;GameID=0022300473&amp;Season=2023-24&amp;flag=1&amp;title=P.%20George%2026'%203PT%20%20(3%20PTS)%20(K.%20Leonard%201%20AST)", "P. George 26' 3PT  (3 PTS) (K. Leonard 1 AST)")</f>
        <v>P. George 26' 3PT  (3 PTS) (K. Leonard 1 AST)</v>
      </c>
      <c r="L671" s="2" t="str">
        <f>HYPERLINK("https://www.nba.com/game/...-vs-...-0022300473/play-by-play?watchFullGame=true", "LAC vs PHX - Q1 08:22.00")</f>
        <v>LAC vs PHX - Q1 08:22.00</v>
      </c>
      <c r="M671">
        <v>26.18</v>
      </c>
      <c r="N671">
        <v>74.33</v>
      </c>
      <c r="O671">
        <v>86.27</v>
      </c>
      <c r="P671">
        <v>181</v>
      </c>
      <c r="Q671">
        <v>189</v>
      </c>
      <c r="R671">
        <v>74</v>
      </c>
      <c r="S671">
        <v>86</v>
      </c>
      <c r="T671" t="s">
        <v>58</v>
      </c>
    </row>
    <row r="672" spans="1:20" x14ac:dyDescent="0.25">
      <c r="A672">
        <v>21900436</v>
      </c>
      <c r="B672" t="s">
        <v>10</v>
      </c>
      <c r="C672" t="s">
        <v>61</v>
      </c>
      <c r="D672">
        <v>106</v>
      </c>
      <c r="E672">
        <v>79</v>
      </c>
      <c r="F672">
        <v>27</v>
      </c>
      <c r="G672">
        <v>3</v>
      </c>
      <c r="H672" s="1">
        <v>1.7824074074074075E-3</v>
      </c>
      <c r="I672">
        <v>2019</v>
      </c>
      <c r="J672" t="s">
        <v>59</v>
      </c>
      <c r="K672" s="2" t="str">
        <f>HYPERLINK("https://www.nba.com/stats/events?CFID=&amp;CFPARAMS=&amp;GameEventID=461&amp;GameID=0021900436&amp;Season=2019-20&amp;flag=1&amp;title=L.%20Shamet%2026'%203PT%20%20(3%20PTS)%20(K.%20Leonard%209%20AST)", "L. Shamet 26' 3PT  (3 PTS) (K. Leonard 9 AST)")</f>
        <v>L. Shamet 26' 3PT  (3 PTS) (K. Leonard 9 AST)</v>
      </c>
      <c r="L672" s="2" t="str">
        <f>HYPERLINK("https://www.nba.com/game/...-vs-...-0021900436/play-by-play?watchFullGame=true", "LAC vs SAS - Q3 02:34.00")</f>
        <v>LAC vs SAS - Q3 02:34.00</v>
      </c>
      <c r="M672">
        <v>25.56</v>
      </c>
      <c r="N672">
        <v>74.2</v>
      </c>
      <c r="O672">
        <v>82.91</v>
      </c>
      <c r="P672">
        <v>165</v>
      </c>
      <c r="Q672">
        <v>190</v>
      </c>
      <c r="R672">
        <v>74</v>
      </c>
      <c r="S672">
        <v>82</v>
      </c>
      <c r="T672" t="s">
        <v>58</v>
      </c>
    </row>
    <row r="673" spans="1:20" x14ac:dyDescent="0.25">
      <c r="A673">
        <v>21900576</v>
      </c>
      <c r="B673" t="s">
        <v>10</v>
      </c>
      <c r="C673" t="s">
        <v>61</v>
      </c>
      <c r="D673">
        <v>42</v>
      </c>
      <c r="E673">
        <v>46</v>
      </c>
      <c r="F673">
        <v>4</v>
      </c>
      <c r="G673">
        <v>2</v>
      </c>
      <c r="H673" s="1">
        <v>1.3541666666666667E-3</v>
      </c>
      <c r="I673">
        <v>2019</v>
      </c>
      <c r="J673" t="s">
        <v>59</v>
      </c>
      <c r="K673" s="2" t="str">
        <f>HYPERLINK("https://www.nba.com/stats/events?CFID=&amp;CFPARAMS=&amp;GameEventID=305&amp;GameID=0021900576&amp;Season=2019-20&amp;flag=1&amp;title=P.%20Beverley%2027'%203PT%20%20(8%20PTS)%20(K.%20Leonard%204%20AST)", "P. Beverley 27' 3PT  (8 PTS) (K. Leonard 4 AST)")</f>
        <v>P. Beverley 27' 3PT  (8 PTS) (K. Leonard 4 AST)</v>
      </c>
      <c r="L673" s="2" t="str">
        <f>HYPERLINK("https://www.nba.com/game/...-vs-...-0021900576/play-by-play?watchFullGame=true", "LAC vs GSW - Q2 01:57.00")</f>
        <v>LAC vs GSW - Q2 01:57.00</v>
      </c>
      <c r="M673">
        <v>26.62</v>
      </c>
      <c r="N673">
        <v>74.56</v>
      </c>
      <c r="O673">
        <v>13.17</v>
      </c>
      <c r="P673">
        <v>-184</v>
      </c>
      <c r="Q673">
        <v>187</v>
      </c>
      <c r="R673">
        <v>74</v>
      </c>
      <c r="S673">
        <v>13</v>
      </c>
      <c r="T673" t="s">
        <v>58</v>
      </c>
    </row>
    <row r="674" spans="1:20" x14ac:dyDescent="0.25">
      <c r="A674">
        <v>22000105</v>
      </c>
      <c r="B674" t="s">
        <v>10</v>
      </c>
      <c r="C674" t="s">
        <v>9</v>
      </c>
      <c r="D674">
        <v>61</v>
      </c>
      <c r="E674">
        <v>69</v>
      </c>
      <c r="F674">
        <v>8</v>
      </c>
      <c r="G674">
        <v>3</v>
      </c>
      <c r="H674" s="1">
        <v>5.4282407407407404E-3</v>
      </c>
      <c r="I674">
        <v>2020</v>
      </c>
      <c r="J674" t="s">
        <v>59</v>
      </c>
      <c r="K674" s="2" t="str">
        <f>HYPERLINK("https://www.nba.com/stats/events?CFID=&amp;CFPARAMS=&amp;GameEventID=362&amp;GameID=0022000105&amp;Season=2020-21&amp;flag=1&amp;title=P.%20Beverley%2025'%203PT%20%20(9%20PTS)%20(K.%20Leonard%205%20AST)", "P. Beverley 25' 3PT  (9 PTS) (K. Leonard 5 AST)")</f>
        <v>P. Beverley 25' 3PT  (9 PTS) (K. Leonard 5 AST)</v>
      </c>
      <c r="L674" s="2" t="str">
        <f>HYPERLINK("https://www.nba.com/game/...-vs-...-0022000105/play-by-play?watchFullGame=true", "LAC vs SAS - Q3 07:49.00")</f>
        <v>LAC vs SAS - Q3 07:49.00</v>
      </c>
      <c r="M674">
        <v>25.94</v>
      </c>
      <c r="N674">
        <v>74.72</v>
      </c>
      <c r="O674">
        <v>86.34</v>
      </c>
      <c r="P674">
        <v>182</v>
      </c>
      <c r="Q674">
        <v>185</v>
      </c>
      <c r="R674">
        <v>74</v>
      </c>
      <c r="S674">
        <v>86</v>
      </c>
      <c r="T674" t="s">
        <v>58</v>
      </c>
    </row>
    <row r="675" spans="1:20" x14ac:dyDescent="0.25">
      <c r="A675">
        <v>22300618</v>
      </c>
      <c r="B675" t="s">
        <v>10</v>
      </c>
      <c r="C675" t="s">
        <v>9</v>
      </c>
      <c r="D675">
        <v>65</v>
      </c>
      <c r="E675">
        <v>55</v>
      </c>
      <c r="F675">
        <v>10</v>
      </c>
      <c r="G675">
        <v>2</v>
      </c>
      <c r="H675" s="1">
        <v>2.4074074074074076E-3</v>
      </c>
      <c r="I675">
        <v>2023</v>
      </c>
      <c r="J675" t="s">
        <v>59</v>
      </c>
      <c r="K675" s="2" t="str">
        <f>HYPERLINK("https://www.nba.com/stats/events?CFID=&amp;CFPARAMS=&amp;GameEventID=260&amp;GameID=0022300618&amp;Season=2023-24&amp;flag=1&amp;title=J.%20Harden%2026'%203PT%20step%20back%20(18%20PTS)%20(K.%20Leonard%203%20AST)", "J. Harden 26' 3PT step back (18 PTS) (K. Leonard 3 AST)")</f>
        <v>J. Harden 26' 3PT step back (18 PTS) (K. Leonard 3 AST)</v>
      </c>
      <c r="L675" s="2" t="str">
        <f>HYPERLINK("https://www.nba.com/game/...-vs-...-0022300618/play-by-play?watchFullGame=true", "LAC vs LAL - Q2 03:28.00")</f>
        <v>LAC vs LAL - Q2 03:28.00</v>
      </c>
      <c r="M675">
        <v>26.13</v>
      </c>
      <c r="N675">
        <v>74.03</v>
      </c>
      <c r="O675">
        <v>85.54</v>
      </c>
      <c r="P675">
        <v>178</v>
      </c>
      <c r="Q675">
        <v>192</v>
      </c>
      <c r="R675">
        <v>74</v>
      </c>
      <c r="S675">
        <v>85</v>
      </c>
      <c r="T675" t="s">
        <v>58</v>
      </c>
    </row>
    <row r="676" spans="1:20" x14ac:dyDescent="0.25">
      <c r="A676">
        <v>22300127</v>
      </c>
      <c r="B676" t="s">
        <v>10</v>
      </c>
      <c r="C676" t="s">
        <v>9</v>
      </c>
      <c r="D676">
        <v>57</v>
      </c>
      <c r="E676">
        <v>41</v>
      </c>
      <c r="F676">
        <v>16</v>
      </c>
      <c r="G676">
        <v>2</v>
      </c>
      <c r="H676" s="1">
        <v>1.6898148148148148E-3</v>
      </c>
      <c r="I676">
        <v>2023</v>
      </c>
      <c r="J676" t="s">
        <v>59</v>
      </c>
      <c r="K676" s="2" t="str">
        <f>HYPERLINK("https://www.nba.com/stats/events?CFID=&amp;CFPARAMS=&amp;GameEventID=285&amp;GameID=0022300127&amp;Season=2023-24&amp;flag=1&amp;title=R.%20Westbrook%2025'%203PT%20%20(13%20PTS)%20(K.%20Leonard%203%20AST)", "R. Westbrook 25' 3PT  (13 PTS) (K. Leonard 3 AST)")</f>
        <v>R. Westbrook 25' 3PT  (13 PTS) (K. Leonard 3 AST)</v>
      </c>
      <c r="L676" s="2" t="str">
        <f>HYPERLINK("https://www.nba.com/game/...-vs-...-0022300127/play-by-play?watchFullGame=true", "LAC vs LAL - Q2 02:26.00")</f>
        <v>LAC vs LAL - Q2 02:26.00</v>
      </c>
      <c r="M676">
        <v>25.27</v>
      </c>
      <c r="N676">
        <v>74.56</v>
      </c>
      <c r="O676">
        <v>15.93</v>
      </c>
      <c r="P676">
        <v>-170</v>
      </c>
      <c r="Q676">
        <v>187</v>
      </c>
      <c r="R676">
        <v>74</v>
      </c>
      <c r="S676">
        <v>15</v>
      </c>
      <c r="T676" t="s">
        <v>58</v>
      </c>
    </row>
    <row r="677" spans="1:20" x14ac:dyDescent="0.25">
      <c r="A677">
        <v>22200617</v>
      </c>
      <c r="B677" t="s">
        <v>10</v>
      </c>
      <c r="C677" t="s">
        <v>9</v>
      </c>
      <c r="D677">
        <v>27</v>
      </c>
      <c r="E677">
        <v>16</v>
      </c>
      <c r="F677">
        <v>11</v>
      </c>
      <c r="G677">
        <v>1</v>
      </c>
      <c r="H677" s="1">
        <v>1.9675925925925924E-3</v>
      </c>
      <c r="I677">
        <v>2022</v>
      </c>
      <c r="J677" t="s">
        <v>59</v>
      </c>
      <c r="K677" s="2" t="str">
        <f>HYPERLINK("https://www.nba.com/stats/events?CFID=&amp;CFPARAMS=&amp;GameEventID=103&amp;GameID=0022200617&amp;Season=2022-23&amp;flag=1&amp;title=M.%20Morris%20Sr.%2025'%203PT%20%20(8%20PTS)%20(K.%20Leonard%201%20AST)", "M. Morris Sr. 25' 3PT  (8 PTS) (K. Leonard 1 AST)")</f>
        <v>M. Morris Sr. 25' 3PT  (8 PTS) (K. Leonard 1 AST)</v>
      </c>
      <c r="L677" s="2" t="str">
        <f>HYPERLINK("https://www.nba.com/game/...-vs-...-0022200617/play-by-play?watchFullGame=true", "LAC vs DAL - Q1 02:50.00")</f>
        <v>LAC vs DAL - Q1 02:50.00</v>
      </c>
      <c r="M677">
        <v>25.04</v>
      </c>
      <c r="N677">
        <v>74.290000000000006</v>
      </c>
      <c r="O677">
        <v>82.84</v>
      </c>
      <c r="P677">
        <v>164</v>
      </c>
      <c r="Q677">
        <v>189</v>
      </c>
      <c r="R677">
        <v>74</v>
      </c>
      <c r="S677">
        <v>82</v>
      </c>
      <c r="T677" t="s">
        <v>58</v>
      </c>
    </row>
    <row r="678" spans="1:20" x14ac:dyDescent="0.25">
      <c r="A678">
        <v>22200719</v>
      </c>
      <c r="B678" t="s">
        <v>10</v>
      </c>
      <c r="C678" t="s">
        <v>9</v>
      </c>
      <c r="D678">
        <v>74</v>
      </c>
      <c r="E678">
        <v>51</v>
      </c>
      <c r="F678">
        <v>23</v>
      </c>
      <c r="G678">
        <v>2</v>
      </c>
      <c r="H678" s="1">
        <v>3.9699074074074072E-4</v>
      </c>
      <c r="I678">
        <v>2022</v>
      </c>
      <c r="J678" t="s">
        <v>59</v>
      </c>
      <c r="K678" s="2" t="str">
        <f>HYPERLINK("https://www.nba.com/stats/events?CFID=&amp;CFPARAMS=&amp;GameEventID=322&amp;GameID=0022200719&amp;Season=2022-23&amp;flag=1&amp;title=N.%20Powell%2027'%203PT%20%20(11%20PTS)%20(K.%20Leonard%201%20AST)", "N. Powell 27' 3PT  (11 PTS) (K. Leonard 1 AST)")</f>
        <v>N. Powell 27' 3PT  (11 PTS) (K. Leonard 1 AST)</v>
      </c>
      <c r="L678" s="2" t="str">
        <f>HYPERLINK("https://www.nba.com/game/...-vs-...-0022200719/play-by-play?watchFullGame=true", "LAC vs LAL - Q2 00:34.30")</f>
        <v>LAC vs LAL - Q2 00:34.30</v>
      </c>
      <c r="M678">
        <v>27.43</v>
      </c>
      <c r="N678">
        <v>74.430000000000007</v>
      </c>
      <c r="O678">
        <v>89.95</v>
      </c>
      <c r="P678">
        <v>200</v>
      </c>
      <c r="Q678">
        <v>188</v>
      </c>
      <c r="R678">
        <v>74</v>
      </c>
      <c r="S678">
        <v>89</v>
      </c>
      <c r="T678" t="s">
        <v>58</v>
      </c>
    </row>
    <row r="679" spans="1:20" x14ac:dyDescent="0.25">
      <c r="A679">
        <v>22400983</v>
      </c>
      <c r="B679" t="s">
        <v>10</v>
      </c>
      <c r="C679" t="s">
        <v>9</v>
      </c>
      <c r="D679">
        <v>39</v>
      </c>
      <c r="E679">
        <v>20</v>
      </c>
      <c r="F679">
        <v>19</v>
      </c>
      <c r="G679">
        <v>2</v>
      </c>
      <c r="H679" s="1">
        <v>7.083333333333333E-3</v>
      </c>
      <c r="I679">
        <v>2024</v>
      </c>
      <c r="J679" t="s">
        <v>59</v>
      </c>
      <c r="K679" s="2" t="str">
        <f>HYPERLINK("https://www.nba.com/stats/events?CFID=&amp;CFPARAMS=&amp;GameEventID=177&amp;GameID=0022400983&amp;Season=2024-25&amp;flag=1&amp;title=A.%20Coffey%2026'%203PT%20running%20(3%20PTS)%20(K.%20Leonard%201%20AST)", "A. Coffey 26' 3PT running (3 PTS) (K. Leonard 1 AST)")</f>
        <v>A. Coffey 26' 3PT running (3 PTS) (K. Leonard 1 AST)</v>
      </c>
      <c r="L679" s="2" t="str">
        <f>HYPERLINK("https://www.nba.com/game/...-vs-...-0022400983/play-by-play?watchFullGame=true", "LAC vs WAS - Q2 10:12.00")</f>
        <v>LAC vs WAS - Q2 10:12.00</v>
      </c>
      <c r="M679">
        <v>26.45</v>
      </c>
      <c r="N679">
        <v>74.06</v>
      </c>
      <c r="O679">
        <v>86.52</v>
      </c>
      <c r="P679">
        <v>183</v>
      </c>
      <c r="Q679">
        <v>191</v>
      </c>
      <c r="R679">
        <v>74</v>
      </c>
      <c r="S679">
        <v>86</v>
      </c>
      <c r="T679" t="s">
        <v>58</v>
      </c>
    </row>
    <row r="680" spans="1:20" x14ac:dyDescent="0.25">
      <c r="A680">
        <v>41900153</v>
      </c>
      <c r="B680" t="s">
        <v>10</v>
      </c>
      <c r="C680" t="s">
        <v>61</v>
      </c>
      <c r="D680">
        <v>71</v>
      </c>
      <c r="E680">
        <v>60</v>
      </c>
      <c r="F680">
        <v>11</v>
      </c>
      <c r="G680">
        <v>3</v>
      </c>
      <c r="H680" s="1">
        <v>6.8402777777777776E-3</v>
      </c>
      <c r="I680" t="s">
        <v>68</v>
      </c>
      <c r="J680" t="s">
        <v>59</v>
      </c>
      <c r="K680" s="2" t="str">
        <f>HYPERLINK("https://www.nba.com/stats/events?CFID=&amp;CFPARAMS=&amp;GameEventID=362&amp;GameID=0041900153&amp;Season=2019-20&amp;flag=1&amp;title=M.%20Morris%20Sr.%2026'%203PT%20%20(11%20PTS)%20(K.%20Leonard%205%20AST)", "M. Morris Sr. 26' 3PT  (11 PTS) (K. Leonard 5 AST)")</f>
        <v>M. Morris Sr. 26' 3PT  (11 PTS) (K. Leonard 5 AST)</v>
      </c>
      <c r="L680" s="2" t="str">
        <f>HYPERLINK("https://www.nba.com/game/...-vs-...-0041900153/play-by-play?watchFullGame=true", "LAC vs DAL - Q3 09:51.00")</f>
        <v>LAC vs DAL - Q3 09:51.00</v>
      </c>
      <c r="M680">
        <v>25.98</v>
      </c>
      <c r="N680">
        <v>74.33</v>
      </c>
      <c r="O680">
        <v>15.51</v>
      </c>
      <c r="P680">
        <v>-172</v>
      </c>
      <c r="Q680">
        <v>189</v>
      </c>
      <c r="R680">
        <v>74</v>
      </c>
      <c r="S680">
        <v>15</v>
      </c>
      <c r="T680" t="s">
        <v>58</v>
      </c>
    </row>
    <row r="681" spans="1:20" x14ac:dyDescent="0.25">
      <c r="A681">
        <v>22200639</v>
      </c>
      <c r="B681" t="s">
        <v>10</v>
      </c>
      <c r="C681" t="s">
        <v>9</v>
      </c>
      <c r="D681">
        <v>8</v>
      </c>
      <c r="E681">
        <v>7</v>
      </c>
      <c r="F681">
        <v>1</v>
      </c>
      <c r="G681">
        <v>1</v>
      </c>
      <c r="H681" s="1">
        <v>6.5624999999999998E-3</v>
      </c>
      <c r="I681">
        <v>2022</v>
      </c>
      <c r="J681" t="s">
        <v>59</v>
      </c>
      <c r="K681" s="2" t="str">
        <f>HYPERLINK("https://www.nba.com/stats/events?CFID=&amp;CFPARAMS=&amp;GameEventID=30&amp;GameID=0022200639&amp;Season=2022-23&amp;flag=1&amp;title=N.%20Batum%2025'%203PT%20%20(3%20PTS)%20(K.%20Leonard%201%20AST)", "N. Batum 25' 3PT  (3 PTS) (K. Leonard 1 AST)")</f>
        <v>N. Batum 25' 3PT  (3 PTS) (K. Leonard 1 AST)</v>
      </c>
      <c r="L681" s="2" t="str">
        <f>HYPERLINK("https://www.nba.com/game/...-vs-...-0022200639/play-by-play?watchFullGame=true", "LAC vs DEN - Q1 09:27.00")</f>
        <v>LAC vs DEN - Q1 09:27.00</v>
      </c>
      <c r="M681">
        <v>25.54</v>
      </c>
      <c r="N681">
        <v>74.16</v>
      </c>
      <c r="O681">
        <v>84.07</v>
      </c>
      <c r="P681">
        <v>170</v>
      </c>
      <c r="Q681">
        <v>190</v>
      </c>
      <c r="R681">
        <v>74</v>
      </c>
      <c r="S681">
        <v>84</v>
      </c>
      <c r="T681" t="s">
        <v>58</v>
      </c>
    </row>
    <row r="682" spans="1:20" x14ac:dyDescent="0.25">
      <c r="A682">
        <v>21900016</v>
      </c>
      <c r="B682" t="s">
        <v>10</v>
      </c>
      <c r="C682" t="s">
        <v>61</v>
      </c>
      <c r="D682">
        <v>74</v>
      </c>
      <c r="E682">
        <v>56</v>
      </c>
      <c r="F682">
        <v>18</v>
      </c>
      <c r="G682">
        <v>3</v>
      </c>
      <c r="H682" s="1">
        <v>7.1643518518518514E-3</v>
      </c>
      <c r="I682">
        <v>2019</v>
      </c>
      <c r="J682" t="s">
        <v>59</v>
      </c>
      <c r="K682" s="2" t="str">
        <f>HYPERLINK("https://www.nba.com/stats/events?CFID=&amp;CFPARAMS=&amp;GameEventID=404&amp;GameID=0021900016&amp;Season=2019-20&amp;flag=1&amp;title=[LAC]%20Patterson%203pt%20shot:%20Made%20(14%20PTS)%20assist:%20Leonard%20(8%20AST)", "[LAC] Patterson 3pt shot: Made (14 PTS) assist: Leonard (8 AST)")</f>
        <v>[LAC] Patterson 3pt shot: Made (14 PTS) assist: Leonard (8 AST)</v>
      </c>
      <c r="L682" s="2" t="str">
        <f>HYPERLINK("https://www.nba.com/game/...-vs-...-0021900016/play-by-play?watchFullGame=true", "LAC vs GSW - Q3 10:19.00")</f>
        <v>LAC vs GSW - Q3 10:19.00</v>
      </c>
      <c r="M682">
        <v>26.06</v>
      </c>
      <c r="N682">
        <v>75.77</v>
      </c>
      <c r="O682">
        <v>87.57</v>
      </c>
      <c r="P682">
        <v>188</v>
      </c>
      <c r="Q682">
        <v>175</v>
      </c>
      <c r="R682">
        <v>75</v>
      </c>
      <c r="S682">
        <v>87</v>
      </c>
      <c r="T682" t="s">
        <v>58</v>
      </c>
    </row>
    <row r="683" spans="1:20" x14ac:dyDescent="0.25">
      <c r="A683">
        <v>22000172</v>
      </c>
      <c r="B683" t="s">
        <v>10</v>
      </c>
      <c r="C683" t="s">
        <v>9</v>
      </c>
      <c r="D683">
        <v>108</v>
      </c>
      <c r="E683">
        <v>98</v>
      </c>
      <c r="F683">
        <v>10</v>
      </c>
      <c r="G683">
        <v>4</v>
      </c>
      <c r="H683" s="1">
        <v>1.4467592592592592E-3</v>
      </c>
      <c r="I683">
        <v>2020</v>
      </c>
      <c r="J683" t="s">
        <v>59</v>
      </c>
      <c r="K683" s="2" t="str">
        <f>HYPERLINK("https://www.nba.com/stats/events?CFID=&amp;CFPARAMS=&amp;GameEventID=541&amp;GameID=0022000172&amp;Season=2020-21&amp;flag=1&amp;title=P.%20George%2026'%203PT%20%20(27%20PTS)%20(K.%20Leonard%209%20AST)", "P. George 26' 3PT  (27 PTS) (K. Leonard 9 AST)")</f>
        <v>P. George 26' 3PT  (27 PTS) (K. Leonard 9 AST)</v>
      </c>
      <c r="L683" s="2" t="str">
        <f>HYPERLINK("https://www.nba.com/game/...-vs-...-0022000172/play-by-play?watchFullGame=true", "LAC vs NOP - Q4 02:05.00")</f>
        <v>LAC vs NOP - Q4 02:05.00</v>
      </c>
      <c r="M683">
        <v>26.08</v>
      </c>
      <c r="N683">
        <v>75.87</v>
      </c>
      <c r="O683">
        <v>11.21</v>
      </c>
      <c r="P683">
        <v>-194</v>
      </c>
      <c r="Q683">
        <v>174</v>
      </c>
      <c r="R683">
        <v>75</v>
      </c>
      <c r="S683">
        <v>11</v>
      </c>
      <c r="T683" t="s">
        <v>58</v>
      </c>
    </row>
    <row r="684" spans="1:20" x14ac:dyDescent="0.25">
      <c r="A684">
        <v>21900359</v>
      </c>
      <c r="B684" t="s">
        <v>10</v>
      </c>
      <c r="C684" t="s">
        <v>61</v>
      </c>
      <c r="D684">
        <v>86</v>
      </c>
      <c r="E684">
        <v>71</v>
      </c>
      <c r="F684">
        <v>15</v>
      </c>
      <c r="G684">
        <v>3</v>
      </c>
      <c r="H684" s="1">
        <v>8.3333333333333339E-4</v>
      </c>
      <c r="I684">
        <v>2019</v>
      </c>
      <c r="J684" t="s">
        <v>59</v>
      </c>
      <c r="K684" s="2" t="str">
        <f>HYPERLINK("https://www.nba.com/stats/events?CFID=&amp;CFPARAMS=&amp;GameEventID=522&amp;GameID=0021900359&amp;Season=2019-20&amp;flag=1&amp;title=L.%20Williams%2026'%203PT%20%20(18%20PTS)%20(K.%20Leonard%205%20AST)", "L. Williams 26' 3PT  (18 PTS) (K. Leonard 5 AST)")</f>
        <v>L. Williams 26' 3PT  (18 PTS) (K. Leonard 5 AST)</v>
      </c>
      <c r="L684" s="2" t="str">
        <f>HYPERLINK("https://www.nba.com/game/...-vs-...-0021900359/play-by-play?watchFullGame=true", "LAC vs TOR - Q3 01:12.00")</f>
        <v>LAC vs TOR - Q3 01:12.00</v>
      </c>
      <c r="M684">
        <v>26.36</v>
      </c>
      <c r="N684">
        <v>75.510000000000005</v>
      </c>
      <c r="O684">
        <v>12.08</v>
      </c>
      <c r="P684">
        <v>-190</v>
      </c>
      <c r="Q684">
        <v>178</v>
      </c>
      <c r="R684">
        <v>75</v>
      </c>
      <c r="S684">
        <v>12</v>
      </c>
      <c r="T684" t="s">
        <v>58</v>
      </c>
    </row>
    <row r="685" spans="1:20" x14ac:dyDescent="0.25">
      <c r="A685">
        <v>22000077</v>
      </c>
      <c r="B685" t="s">
        <v>10</v>
      </c>
      <c r="C685" t="s">
        <v>9</v>
      </c>
      <c r="D685">
        <v>84</v>
      </c>
      <c r="E685">
        <v>91</v>
      </c>
      <c r="F685">
        <v>7</v>
      </c>
      <c r="G685">
        <v>4</v>
      </c>
      <c r="H685" s="1">
        <v>4.4212962962962964E-3</v>
      </c>
      <c r="I685">
        <v>2020</v>
      </c>
      <c r="J685" t="s">
        <v>59</v>
      </c>
      <c r="K685" s="2" t="str">
        <f>HYPERLINK("https://www.nba.com/stats/events?CFID=&amp;CFPARAMS=&amp;GameEventID=557&amp;GameID=0022000077&amp;Season=2020-21&amp;flag=1&amp;title=P.%20Beverley%2025'%203PT%20%20(6%20PTS)%20(K.%20Leonard%208%20AST)", "P. Beverley 25' 3PT  (6 PTS) (K. Leonard 8 AST)")</f>
        <v>P. Beverley 25' 3PT  (6 PTS) (K. Leonard 8 AST)</v>
      </c>
      <c r="L685" s="2" t="str">
        <f>HYPERLINK("https://www.nba.com/game/...-vs-...-0022000077/play-by-play?watchFullGame=true", "LAC vs UTA - Q4 06:22.00")</f>
        <v>LAC vs UTA - Q4 06:22.00</v>
      </c>
      <c r="M685">
        <v>25.73</v>
      </c>
      <c r="N685">
        <v>75.900000000000006</v>
      </c>
      <c r="O685">
        <v>12.08</v>
      </c>
      <c r="P685">
        <v>-190</v>
      </c>
      <c r="Q685">
        <v>174</v>
      </c>
      <c r="R685">
        <v>75</v>
      </c>
      <c r="S685">
        <v>12</v>
      </c>
      <c r="T685" t="s">
        <v>58</v>
      </c>
    </row>
    <row r="686" spans="1:20" x14ac:dyDescent="0.25">
      <c r="A686">
        <v>21900212</v>
      </c>
      <c r="B686" t="s">
        <v>10</v>
      </c>
      <c r="C686" t="s">
        <v>61</v>
      </c>
      <c r="D686">
        <v>95</v>
      </c>
      <c r="E686">
        <v>94</v>
      </c>
      <c r="F686">
        <v>1</v>
      </c>
      <c r="G686">
        <v>4</v>
      </c>
      <c r="H686" s="1">
        <v>3.6689814814814815E-4</v>
      </c>
      <c r="I686">
        <v>2019</v>
      </c>
      <c r="J686" t="s">
        <v>59</v>
      </c>
      <c r="K686" s="2" t="str">
        <f>HYPERLINK("https://www.nba.com/stats/events?CFID=&amp;CFPARAMS=&amp;GameEventID=655&amp;GameID=0021900212&amp;Season=2019-20&amp;flag=1&amp;title=L.%20Williams%2028'%203PT%20%20(25%20PTS)%20(K.%20Leonard%203%20AST)", "L. Williams 28' 3PT  (25 PTS) (K. Leonard 3 AST)")</f>
        <v>L. Williams 28' 3PT  (25 PTS) (K. Leonard 3 AST)</v>
      </c>
      <c r="L686" s="2" t="str">
        <f>HYPERLINK("https://www.nba.com/game/...-vs-...-0021900212/play-by-play?watchFullGame=true", "LAC vs BOS - Q4 00:31.70")</f>
        <v>LAC vs BOS - Q4 00:31.70</v>
      </c>
      <c r="M686">
        <v>27.57</v>
      </c>
      <c r="N686">
        <v>75.61</v>
      </c>
      <c r="O686">
        <v>91.35</v>
      </c>
      <c r="P686">
        <v>207</v>
      </c>
      <c r="Q686">
        <v>177</v>
      </c>
      <c r="R686">
        <v>75</v>
      </c>
      <c r="S686">
        <v>91</v>
      </c>
      <c r="T686" t="s">
        <v>58</v>
      </c>
    </row>
    <row r="687" spans="1:20" x14ac:dyDescent="0.25">
      <c r="A687">
        <v>22400943</v>
      </c>
      <c r="B687" t="s">
        <v>10</v>
      </c>
      <c r="C687" t="s">
        <v>9</v>
      </c>
      <c r="D687">
        <v>26</v>
      </c>
      <c r="E687">
        <v>43</v>
      </c>
      <c r="F687">
        <v>17</v>
      </c>
      <c r="G687">
        <v>2</v>
      </c>
      <c r="H687" s="1">
        <v>5.5671296296296293E-3</v>
      </c>
      <c r="I687">
        <v>2024</v>
      </c>
      <c r="J687" t="s">
        <v>59</v>
      </c>
      <c r="K687" s="2" t="str">
        <f>HYPERLINK("https://www.nba.com/stats/events?CFID=&amp;CFPARAMS=&amp;GameEventID=191&amp;GameID=0022400943&amp;Season=2024-25&amp;flag=1&amp;title=J.%20Harden%2024'%203PT%20%20(5%20PTS)%20(K.%20Leonard%202%20AST)", "J. Harden 24' 3PT  (5 PTS) (K. Leonard 2 AST)")</f>
        <v>J. Harden 24' 3PT  (5 PTS) (K. Leonard 2 AST)</v>
      </c>
      <c r="L687" s="2" t="str">
        <f>HYPERLINK("https://www.nba.com/game/...-vs-...-0022400943/play-by-play?watchFullGame=true", "LAC vs NOP - Q2 08:01.00")</f>
        <v>LAC vs NOP - Q2 08:01.00</v>
      </c>
      <c r="M687">
        <v>24.63</v>
      </c>
      <c r="N687">
        <v>75.25</v>
      </c>
      <c r="O687">
        <v>83.58</v>
      </c>
      <c r="P687">
        <v>168</v>
      </c>
      <c r="Q687">
        <v>180</v>
      </c>
      <c r="R687">
        <v>75</v>
      </c>
      <c r="S687">
        <v>83</v>
      </c>
      <c r="T687" t="s">
        <v>58</v>
      </c>
    </row>
    <row r="688" spans="1:20" x14ac:dyDescent="0.25">
      <c r="A688">
        <v>22000799</v>
      </c>
      <c r="B688" t="s">
        <v>10</v>
      </c>
      <c r="C688" t="s">
        <v>9</v>
      </c>
      <c r="D688">
        <v>12</v>
      </c>
      <c r="E688">
        <v>6</v>
      </c>
      <c r="F688">
        <v>6</v>
      </c>
      <c r="G688">
        <v>1</v>
      </c>
      <c r="H688" s="1">
        <v>5.7523148148148151E-3</v>
      </c>
      <c r="I688">
        <v>2020</v>
      </c>
      <c r="J688" t="s">
        <v>59</v>
      </c>
      <c r="K688" s="2" t="str">
        <f>HYPERLINK("https://www.nba.com/stats/events?CFID=&amp;CFPARAMS=&amp;GameEventID=44&amp;GameID=0022000799&amp;Season=2020-21&amp;flag=1&amp;title=L.%20Kennard%2026'%203PT%20step%20back%20(3%20PTS)%20(K.%20Leonard%202%20AST)", "L. Kennard 26' 3PT step back (3 PTS) (K. Leonard 2 AST)")</f>
        <v>L. Kennard 26' 3PT step back (3 PTS) (K. Leonard 2 AST)</v>
      </c>
      <c r="L688" s="2" t="str">
        <f>HYPERLINK("https://www.nba.com/game/...-vs-...-0022000799/play-by-play?watchFullGame=true", "LAC vs HOU - Q1 08:17.00")</f>
        <v>LAC vs HOU - Q1 08:17.00</v>
      </c>
      <c r="M688">
        <v>26.45</v>
      </c>
      <c r="N688">
        <v>75.77</v>
      </c>
      <c r="O688">
        <v>10.36</v>
      </c>
      <c r="P688">
        <v>-198</v>
      </c>
      <c r="Q688">
        <v>175</v>
      </c>
      <c r="R688">
        <v>75</v>
      </c>
      <c r="S688">
        <v>10</v>
      </c>
      <c r="T688" t="s">
        <v>58</v>
      </c>
    </row>
    <row r="689" spans="1:20" x14ac:dyDescent="0.25">
      <c r="A689">
        <v>21900276</v>
      </c>
      <c r="B689" t="s">
        <v>10</v>
      </c>
      <c r="C689" t="s">
        <v>61</v>
      </c>
      <c r="D689">
        <v>81</v>
      </c>
      <c r="E689">
        <v>92</v>
      </c>
      <c r="F689">
        <v>11</v>
      </c>
      <c r="G689">
        <v>4</v>
      </c>
      <c r="H689" s="1">
        <v>4.8611111111111112E-3</v>
      </c>
      <c r="I689">
        <v>2019</v>
      </c>
      <c r="J689" t="s">
        <v>59</v>
      </c>
      <c r="K689" s="2" t="str">
        <f>HYPERLINK("https://www.nba.com/stats/events?CFID=&amp;CFPARAMS=&amp;GameEventID=571&amp;GameID=0021900276&amp;Season=2019-20&amp;flag=1&amp;title=J.%20Green%2026'%203PT%20%20(16%20PTS)%20(K.%20Leonard%207%20AST)", "J. Green 26' 3PT  (16 PTS) (K. Leonard 7 AST)")</f>
        <v>J. Green 26' 3PT  (16 PTS) (K. Leonard 7 AST)</v>
      </c>
      <c r="L689" s="2" t="str">
        <f>HYPERLINK("https://www.nba.com/game/...-vs-...-0021900276/play-by-play?watchFullGame=true", "LAC vs SAS - Q4 07:00.00")</f>
        <v>LAC vs SAS - Q4 07:00.00</v>
      </c>
      <c r="M689">
        <v>26.11</v>
      </c>
      <c r="N689">
        <v>75.25</v>
      </c>
      <c r="O689">
        <v>13.3</v>
      </c>
      <c r="P689">
        <v>-183</v>
      </c>
      <c r="Q689">
        <v>180</v>
      </c>
      <c r="R689">
        <v>75</v>
      </c>
      <c r="S689">
        <v>13</v>
      </c>
      <c r="T689" t="s">
        <v>58</v>
      </c>
    </row>
    <row r="690" spans="1:20" x14ac:dyDescent="0.25">
      <c r="A690">
        <v>22000501</v>
      </c>
      <c r="B690" t="s">
        <v>10</v>
      </c>
      <c r="C690" t="s">
        <v>9</v>
      </c>
      <c r="D690">
        <v>20</v>
      </c>
      <c r="E690">
        <v>13</v>
      </c>
      <c r="F690">
        <v>7</v>
      </c>
      <c r="G690">
        <v>1</v>
      </c>
      <c r="H690" s="1">
        <v>2.3726851851851851E-3</v>
      </c>
      <c r="I690">
        <v>2020</v>
      </c>
      <c r="J690" t="s">
        <v>59</v>
      </c>
      <c r="K690" s="2" t="str">
        <f>HYPERLINK("https://www.nba.com/stats/events?CFID=&amp;CFPARAMS=&amp;GameEventID=110&amp;GameID=0022000501&amp;Season=2020-21&amp;flag=1&amp;title=M.%20Morris%20Sr.%2025'%203PT%20%20(3%20PTS)%20(K.%20Leonard%202%20AST)", "M. Morris Sr. 25' 3PT  (3 PTS) (K. Leonard 2 AST)")</f>
        <v>M. Morris Sr. 25' 3PT  (3 PTS) (K. Leonard 2 AST)</v>
      </c>
      <c r="L690" s="2" t="str">
        <f>HYPERLINK("https://www.nba.com/game/...-vs-...-0022000501/play-by-play?watchFullGame=true", "LAC vs MEM - Q1 03:25.00")</f>
        <v>LAC vs MEM - Q1 03:25.00</v>
      </c>
      <c r="M690">
        <v>25.16</v>
      </c>
      <c r="N690">
        <v>76.819999999999993</v>
      </c>
      <c r="O690">
        <v>12.08</v>
      </c>
      <c r="P690">
        <v>-190</v>
      </c>
      <c r="Q690">
        <v>165</v>
      </c>
      <c r="R690">
        <v>76</v>
      </c>
      <c r="S690">
        <v>12</v>
      </c>
      <c r="T690" t="s">
        <v>58</v>
      </c>
    </row>
    <row r="691" spans="1:20" x14ac:dyDescent="0.25">
      <c r="A691">
        <v>22200639</v>
      </c>
      <c r="B691" t="s">
        <v>10</v>
      </c>
      <c r="C691" t="s">
        <v>9</v>
      </c>
      <c r="D691">
        <v>26</v>
      </c>
      <c r="E691">
        <v>24</v>
      </c>
      <c r="F691">
        <v>2</v>
      </c>
      <c r="G691">
        <v>1</v>
      </c>
      <c r="H691" s="1">
        <v>2.8124999999999999E-3</v>
      </c>
      <c r="I691">
        <v>2022</v>
      </c>
      <c r="J691" t="s">
        <v>59</v>
      </c>
      <c r="K691" s="2" t="str">
        <f>HYPERLINK("https://www.nba.com/stats/events?CFID=&amp;CFPARAMS=&amp;GameEventID=82&amp;GameID=0022200639&amp;Season=2022-23&amp;flag=1&amp;title=J.%20Wall%2026'%203PT%20%20(3%20PTS)%20(K.%20Leonard%203%20AST)", "J. Wall 26' 3PT  (3 PTS) (K. Leonard 3 AST)")</f>
        <v>J. Wall 26' 3PT  (3 PTS) (K. Leonard 3 AST)</v>
      </c>
      <c r="L691" s="2" t="str">
        <f>HYPERLINK("https://www.nba.com/game/...-vs-...-0022200639/play-by-play?watchFullGame=true", "LAC vs DEN - Q1 04:03.00")</f>
        <v>LAC vs DEN - Q1 04:03.00</v>
      </c>
      <c r="M691">
        <v>26.91</v>
      </c>
      <c r="N691">
        <v>76.790000000000006</v>
      </c>
      <c r="O691">
        <v>92.4</v>
      </c>
      <c r="P691">
        <v>212</v>
      </c>
      <c r="Q691">
        <v>166</v>
      </c>
      <c r="R691">
        <v>76</v>
      </c>
      <c r="S691">
        <v>92</v>
      </c>
      <c r="T691" t="s">
        <v>58</v>
      </c>
    </row>
    <row r="692" spans="1:20" x14ac:dyDescent="0.25">
      <c r="A692">
        <v>22000788</v>
      </c>
      <c r="B692" t="s">
        <v>10</v>
      </c>
      <c r="C692" t="s">
        <v>9</v>
      </c>
      <c r="D692">
        <v>67</v>
      </c>
      <c r="E692">
        <v>69</v>
      </c>
      <c r="F692">
        <v>2</v>
      </c>
      <c r="G692">
        <v>3</v>
      </c>
      <c r="H692" s="1">
        <v>4.2939814814814811E-3</v>
      </c>
      <c r="I692">
        <v>2020</v>
      </c>
      <c r="J692" t="s">
        <v>59</v>
      </c>
      <c r="K692" s="2" t="str">
        <f>HYPERLINK("https://www.nba.com/stats/events?CFID=&amp;CFPARAMS=&amp;GameEventID=337&amp;GameID=0022000788&amp;Season=2020-21&amp;flag=1&amp;title=R.%20Jackson%2025'%203PT%20%20(8%20PTS)%20(K.%20Leonard%204%20AST)", "R. Jackson 25' 3PT  (8 PTS) (K. Leonard 4 AST)")</f>
        <v>R. Jackson 25' 3PT  (8 PTS) (K. Leonard 4 AST)</v>
      </c>
      <c r="L692" s="2" t="str">
        <f>HYPERLINK("https://www.nba.com/game/...-vs-...-0022000788/play-by-play?watchFullGame=true", "LAC vs PHX - Q3 06:11.00")</f>
        <v>LAC vs PHX - Q3 06:11.00</v>
      </c>
      <c r="M692">
        <v>25.52</v>
      </c>
      <c r="N692">
        <v>76.69</v>
      </c>
      <c r="O692">
        <v>11.34</v>
      </c>
      <c r="P692">
        <v>-193</v>
      </c>
      <c r="Q692">
        <v>167</v>
      </c>
      <c r="R692">
        <v>76</v>
      </c>
      <c r="S692">
        <v>11</v>
      </c>
      <c r="T692" t="s">
        <v>58</v>
      </c>
    </row>
    <row r="693" spans="1:20" x14ac:dyDescent="0.25">
      <c r="A693">
        <v>22200604</v>
      </c>
      <c r="B693" t="s">
        <v>4</v>
      </c>
      <c r="C693" t="s">
        <v>9</v>
      </c>
      <c r="D693">
        <v>7</v>
      </c>
      <c r="E693">
        <v>0</v>
      </c>
      <c r="F693">
        <v>7</v>
      </c>
      <c r="G693">
        <v>1</v>
      </c>
      <c r="H693" s="1">
        <v>7.3263888888888892E-3</v>
      </c>
      <c r="I693">
        <v>2022</v>
      </c>
      <c r="J693" t="s">
        <v>59</v>
      </c>
      <c r="K693" s="2" t="str">
        <f>HYPERLINK("https://www.nba.com/stats/events?CFID=&amp;CFPARAMS=&amp;GameEventID=18&amp;GameID=0022200604&amp;Season=2022-23&amp;flag=1&amp;title=M.%20Morris%20Sr.%2019'%20pullup%20Jump%20Shot%20(2%20PTS)%20(K.%20Leonard%202%20AST)", "M. Morris Sr. 19' pullup Jump Shot (2 PTS) (K. Leonard 2 AST)")</f>
        <v>M. Morris Sr. 19' pullup Jump Shot (2 PTS) (K. Leonard 2 AST)</v>
      </c>
      <c r="L693" s="2" t="str">
        <f>HYPERLINK("https://www.nba.com/game/...-vs-...-0022200604/play-by-play?watchFullGame=true", "LAC vs ATL - Q1 10:33.00")</f>
        <v>LAC vs ATL - Q1 10:33.00</v>
      </c>
      <c r="M693">
        <v>19.690000000000001</v>
      </c>
      <c r="N693">
        <v>76.61</v>
      </c>
      <c r="O693">
        <v>70.739999999999995</v>
      </c>
      <c r="P693">
        <v>104</v>
      </c>
      <c r="Q693">
        <v>167</v>
      </c>
      <c r="R693">
        <v>76</v>
      </c>
      <c r="S693">
        <v>70</v>
      </c>
      <c r="T693" t="s">
        <v>58</v>
      </c>
    </row>
    <row r="694" spans="1:20" x14ac:dyDescent="0.25">
      <c r="A694">
        <v>22300343</v>
      </c>
      <c r="B694" t="s">
        <v>10</v>
      </c>
      <c r="C694" t="s">
        <v>9</v>
      </c>
      <c r="D694">
        <v>67</v>
      </c>
      <c r="E694">
        <v>61</v>
      </c>
      <c r="F694">
        <v>6</v>
      </c>
      <c r="G694">
        <v>2</v>
      </c>
      <c r="H694" s="1">
        <v>1.6550925925925926E-3</v>
      </c>
      <c r="I694">
        <v>2023</v>
      </c>
      <c r="J694" t="s">
        <v>59</v>
      </c>
      <c r="K694" s="2" t="str">
        <f>HYPERLINK("https://www.nba.com/stats/events?CFID=&amp;CFPARAMS=&amp;GameEventID=327&amp;GameID=0022300343&amp;Season=2023-24&amp;flag=1&amp;title=T.%20Mann%2024'%203PT%20running%20pullup%20(8%20PTS)%20(K.%20Leonard%203%20AST)", "T. Mann 24' 3PT running pullup (8 PTS) (K. Leonard 3 AST)")</f>
        <v>T. Mann 24' 3PT running pullup (8 PTS) (K. Leonard 3 AST)</v>
      </c>
      <c r="L694" s="2" t="str">
        <f>HYPERLINK("https://www.nba.com/game/...-vs-...-0022300343/play-by-play?watchFullGame=true", "LAC vs NYK - Q2 02:23.00")</f>
        <v>LAC vs NYK - Q2 02:23.00</v>
      </c>
      <c r="M694">
        <v>24.94</v>
      </c>
      <c r="N694">
        <v>76.92</v>
      </c>
      <c r="O694">
        <v>87.5</v>
      </c>
      <c r="P694">
        <v>188</v>
      </c>
      <c r="Q694">
        <v>164</v>
      </c>
      <c r="R694">
        <v>76</v>
      </c>
      <c r="S694">
        <v>87</v>
      </c>
      <c r="T694" t="s">
        <v>58</v>
      </c>
    </row>
    <row r="695" spans="1:20" x14ac:dyDescent="0.25">
      <c r="A695">
        <v>22300956</v>
      </c>
      <c r="B695" t="s">
        <v>4</v>
      </c>
      <c r="C695" t="s">
        <v>9</v>
      </c>
      <c r="D695">
        <v>80</v>
      </c>
      <c r="E695">
        <v>63</v>
      </c>
      <c r="F695">
        <v>17</v>
      </c>
      <c r="G695">
        <v>3</v>
      </c>
      <c r="H695" s="1">
        <v>5.115740740740741E-3</v>
      </c>
      <c r="I695">
        <v>2023</v>
      </c>
      <c r="J695" t="s">
        <v>59</v>
      </c>
      <c r="K695" s="2" t="str">
        <f>HYPERLINK("https://www.nba.com/stats/events?CFID=&amp;CFPARAMS=&amp;GameEventID=334&amp;GameID=0022300956&amp;Season=2023-24&amp;flag=1&amp;title=B.%20Hyland%2019'%20pullup%20Jump%20Shot%20(11%20PTS)%20(K.%20Leonard%202%20AST)", "B. Hyland 19' pullup Jump Shot (11 PTS) (K. Leonard 2 AST)")</f>
        <v>B. Hyland 19' pullup Jump Shot (11 PTS) (K. Leonard 2 AST)</v>
      </c>
      <c r="L695" s="2" t="str">
        <f>HYPERLINK("https://www.nba.com/game/...-vs-...-0022300956/play-by-play?watchFullGame=true", "LAC vs CHI - Q3 07:22.00")</f>
        <v>LAC vs CHI - Q3 07:22.00</v>
      </c>
      <c r="M695">
        <v>19.690000000000001</v>
      </c>
      <c r="N695">
        <v>76.03</v>
      </c>
      <c r="O695">
        <v>31.13</v>
      </c>
      <c r="P695">
        <v>-94</v>
      </c>
      <c r="Q695">
        <v>173</v>
      </c>
      <c r="R695">
        <v>76</v>
      </c>
      <c r="S695">
        <v>31</v>
      </c>
      <c r="T695" t="s">
        <v>58</v>
      </c>
    </row>
    <row r="696" spans="1:20" x14ac:dyDescent="0.25">
      <c r="A696">
        <v>41900151</v>
      </c>
      <c r="B696" t="s">
        <v>10</v>
      </c>
      <c r="C696" t="s">
        <v>61</v>
      </c>
      <c r="D696">
        <v>15</v>
      </c>
      <c r="E696">
        <v>2</v>
      </c>
      <c r="F696">
        <v>13</v>
      </c>
      <c r="G696">
        <v>1</v>
      </c>
      <c r="H696" s="1">
        <v>6.1689814814814819E-3</v>
      </c>
      <c r="I696" t="s">
        <v>68</v>
      </c>
      <c r="J696" t="s">
        <v>59</v>
      </c>
      <c r="K696" s="2" t="str">
        <f>HYPERLINK("https://www.nba.com/stats/events?CFID=&amp;CFPARAMS=&amp;GameEventID=48&amp;GameID=0041900151&amp;Season=2019-20&amp;flag=1&amp;title=P.%20George%2025'%203PT%20%20(6%20PTS)%20(K.%20Leonard%201%20AST)", "P. George 25' 3PT  (6 PTS) (K. Leonard 1 AST)")</f>
        <v>P. George 25' 3PT  (6 PTS) (K. Leonard 1 AST)</v>
      </c>
      <c r="L696" s="2" t="str">
        <f>HYPERLINK("https://www.nba.com/game/...-vs-...-0041900151/play-by-play?watchFullGame=true", "LAC vs DAL - Q1 08:53.00")</f>
        <v>LAC vs DAL - Q1 08:53.00</v>
      </c>
      <c r="M696">
        <v>24.99</v>
      </c>
      <c r="N696">
        <v>76.819999999999993</v>
      </c>
      <c r="O696">
        <v>13.55</v>
      </c>
      <c r="P696">
        <v>-182</v>
      </c>
      <c r="Q696">
        <v>165</v>
      </c>
      <c r="R696">
        <v>76</v>
      </c>
      <c r="S696">
        <v>13</v>
      </c>
      <c r="T696" t="s">
        <v>58</v>
      </c>
    </row>
    <row r="697" spans="1:20" x14ac:dyDescent="0.25">
      <c r="A697">
        <v>41900235</v>
      </c>
      <c r="B697" t="s">
        <v>10</v>
      </c>
      <c r="C697" t="s">
        <v>61</v>
      </c>
      <c r="D697">
        <v>11</v>
      </c>
      <c r="E697">
        <v>3</v>
      </c>
      <c r="F697">
        <v>8</v>
      </c>
      <c r="G697">
        <v>1</v>
      </c>
      <c r="H697" s="1">
        <v>5.4976851851851853E-3</v>
      </c>
      <c r="I697" t="s">
        <v>62</v>
      </c>
      <c r="J697" t="s">
        <v>59</v>
      </c>
      <c r="K697" s="2" t="str">
        <f>HYPERLINK("https://www.nba.com/stats/events?CFID=&amp;CFPARAMS=&amp;GameEventID=52&amp;GameID=0041900235&amp;Season=2019-20&amp;flag=1&amp;title=M.%20Morris%20Sr.%2027'%203PT%20%20(3%20PTS)%20(K.%20Leonard%202%20AST)", "M. Morris Sr. 27' 3PT  (3 PTS) (K. Leonard 2 AST)")</f>
        <v>M. Morris Sr. 27' 3PT  (3 PTS) (K. Leonard 2 AST)</v>
      </c>
      <c r="L697" s="2" t="str">
        <f>HYPERLINK("https://www.nba.com/game/...-vs-...-0041900235/play-by-play?watchFullGame=true", "LAC vs DEN - Q1 07:55.00")</f>
        <v>LAC vs DEN - Q1 07:55.00</v>
      </c>
      <c r="M697">
        <v>26.77</v>
      </c>
      <c r="N697">
        <v>76.3</v>
      </c>
      <c r="O697">
        <v>9.6300000000000008</v>
      </c>
      <c r="P697">
        <v>-202</v>
      </c>
      <c r="Q697">
        <v>170</v>
      </c>
      <c r="R697">
        <v>76</v>
      </c>
      <c r="S697">
        <v>9</v>
      </c>
      <c r="T697" t="s">
        <v>58</v>
      </c>
    </row>
    <row r="698" spans="1:20" x14ac:dyDescent="0.25">
      <c r="A698">
        <v>22000867</v>
      </c>
      <c r="B698" t="s">
        <v>10</v>
      </c>
      <c r="C698" t="s">
        <v>9</v>
      </c>
      <c r="D698">
        <v>57</v>
      </c>
      <c r="E698">
        <v>41</v>
      </c>
      <c r="F698">
        <v>16</v>
      </c>
      <c r="G698">
        <v>2</v>
      </c>
      <c r="H698" s="1">
        <v>3.0671296296296297E-3</v>
      </c>
      <c r="I698">
        <v>2020</v>
      </c>
      <c r="J698" t="s">
        <v>59</v>
      </c>
      <c r="K698" s="2" t="str">
        <f>HYPERLINK("https://www.nba.com/stats/events?CFID=&amp;CFPARAMS=&amp;GameEventID=264&amp;GameID=0022000867&amp;Season=2020-21&amp;flag=1&amp;title=R.%20Jackson%2025'%203PT%20%20(8%20PTS)%20(K.%20Leonard%203%20AST)", "R. Jackson 25' 3PT  (8 PTS) (K. Leonard 3 AST)")</f>
        <v>R. Jackson 25' 3PT  (8 PTS) (K. Leonard 3 AST)</v>
      </c>
      <c r="L698" s="2" t="str">
        <f>HYPERLINK("https://www.nba.com/game/...-vs-...-0022000867/play-by-play?watchFullGame=true", "LAC vs MIN - Q2 04:25.00")</f>
        <v>LAC vs MIN - Q2 04:25.00</v>
      </c>
      <c r="M698">
        <v>25.87</v>
      </c>
      <c r="N698">
        <v>76.819999999999993</v>
      </c>
      <c r="O698">
        <v>89.77</v>
      </c>
      <c r="P698">
        <v>199</v>
      </c>
      <c r="Q698">
        <v>165</v>
      </c>
      <c r="R698">
        <v>76</v>
      </c>
      <c r="S698">
        <v>89</v>
      </c>
      <c r="T698" t="s">
        <v>58</v>
      </c>
    </row>
    <row r="699" spans="1:20" x14ac:dyDescent="0.25">
      <c r="A699">
        <v>22200639</v>
      </c>
      <c r="B699" t="s">
        <v>10</v>
      </c>
      <c r="C699" t="s">
        <v>9</v>
      </c>
      <c r="D699">
        <v>32</v>
      </c>
      <c r="E699">
        <v>30</v>
      </c>
      <c r="F699">
        <v>2</v>
      </c>
      <c r="G699">
        <v>1</v>
      </c>
      <c r="H699" s="1">
        <v>1.1458333333333333E-3</v>
      </c>
      <c r="I699">
        <v>2022</v>
      </c>
      <c r="J699" t="s">
        <v>59</v>
      </c>
      <c r="K699" s="2" t="str">
        <f>HYPERLINK("https://www.nba.com/stats/events?CFID=&amp;CFPARAMS=&amp;GameEventID=118&amp;GameID=0022200639&amp;Season=2022-23&amp;flag=1&amp;title=R.%20Covington%2025'%203PT%20%20(3%20PTS)%20(K.%20Leonard%204%20AST)", "R. Covington 25' 3PT  (3 PTS) (K. Leonard 4 AST)")</f>
        <v>R. Covington 25' 3PT  (3 PTS) (K. Leonard 4 AST)</v>
      </c>
      <c r="L699" s="2" t="str">
        <f>HYPERLINK("https://www.nba.com/game/...-vs-...-0022200639/play-by-play?watchFullGame=true", "LAC vs DEN - Q1 01:39.00")</f>
        <v>LAC vs DEN - Q1 01:39.00</v>
      </c>
      <c r="M699">
        <v>25.72</v>
      </c>
      <c r="N699">
        <v>76.400000000000006</v>
      </c>
      <c r="O699">
        <v>11.27</v>
      </c>
      <c r="P699">
        <v>-194</v>
      </c>
      <c r="Q699">
        <v>169</v>
      </c>
      <c r="R699">
        <v>76</v>
      </c>
      <c r="S699">
        <v>11</v>
      </c>
      <c r="T699" t="s">
        <v>58</v>
      </c>
    </row>
    <row r="700" spans="1:20" x14ac:dyDescent="0.25">
      <c r="A700">
        <v>22300280</v>
      </c>
      <c r="B700" t="s">
        <v>10</v>
      </c>
      <c r="C700" t="s">
        <v>9</v>
      </c>
      <c r="D700">
        <v>68</v>
      </c>
      <c r="E700">
        <v>83</v>
      </c>
      <c r="F700">
        <v>15</v>
      </c>
      <c r="G700">
        <v>3</v>
      </c>
      <c r="H700" s="1">
        <v>3.9814814814814817E-3</v>
      </c>
      <c r="I700">
        <v>2023</v>
      </c>
      <c r="J700" t="s">
        <v>59</v>
      </c>
      <c r="K700" s="2" t="str">
        <f>HYPERLINK("https://www.nba.com/stats/events?CFID=&amp;CFPARAMS=&amp;GameEventID=404&amp;GameID=0022300280&amp;Season=2023-24&amp;flag=1&amp;title=J.%20Harden%2025'%203PT%20%20(14%20PTS)%20(K.%20Leonard%205%20AST)", "J. Harden 25' 3PT  (14 PTS) (K. Leonard 5 AST)")</f>
        <v>J. Harden 25' 3PT  (14 PTS) (K. Leonard 5 AST)</v>
      </c>
      <c r="L700" s="2" t="str">
        <f>HYPERLINK("https://www.nba.com/game/...-vs-...-0022300280/play-by-play?watchFullGame=true", "LAC vs GSW - Q3 05:44.00")</f>
        <v>LAC vs GSW - Q3 05:44.00</v>
      </c>
      <c r="M700">
        <v>25.36</v>
      </c>
      <c r="N700">
        <v>76.400000000000006</v>
      </c>
      <c r="O700">
        <v>12.25</v>
      </c>
      <c r="P700">
        <v>-189</v>
      </c>
      <c r="Q700">
        <v>169</v>
      </c>
      <c r="R700">
        <v>76</v>
      </c>
      <c r="S700">
        <v>12</v>
      </c>
      <c r="T700" t="s">
        <v>58</v>
      </c>
    </row>
    <row r="701" spans="1:20" x14ac:dyDescent="0.25">
      <c r="A701">
        <v>41900235</v>
      </c>
      <c r="B701" t="s">
        <v>10</v>
      </c>
      <c r="C701" t="s">
        <v>61</v>
      </c>
      <c r="D701">
        <v>45</v>
      </c>
      <c r="E701">
        <v>31</v>
      </c>
      <c r="F701">
        <v>14</v>
      </c>
      <c r="G701">
        <v>2</v>
      </c>
      <c r="H701" s="1">
        <v>4.386574074074074E-3</v>
      </c>
      <c r="I701" t="s">
        <v>62</v>
      </c>
      <c r="J701" t="s">
        <v>59</v>
      </c>
      <c r="K701" s="2" t="str">
        <f>HYPERLINK("https://www.nba.com/stats/events?CFID=&amp;CFPARAMS=&amp;GameEventID=222&amp;GameID=0041900235&amp;Season=2019-20&amp;flag=1&amp;title=P.%20George%2026'%203PT%20%20(13%20PTS)%20(K.%20Leonard%203%20AST)", "P. George 26' 3PT  (13 PTS) (K. Leonard 3 AST)")</f>
        <v>P. George 26' 3PT  (13 PTS) (K. Leonard 3 AST)</v>
      </c>
      <c r="L701" s="2" t="str">
        <f>HYPERLINK("https://www.nba.com/game/...-vs-...-0041900235/play-by-play?watchFullGame=true", "LAC vs DEN - Q2 06:19.00")</f>
        <v>LAC vs DEN - Q2 06:19.00</v>
      </c>
      <c r="M701">
        <v>26.23</v>
      </c>
      <c r="N701">
        <v>76.95</v>
      </c>
      <c r="O701">
        <v>90.02</v>
      </c>
      <c r="P701">
        <v>200</v>
      </c>
      <c r="Q701">
        <v>164</v>
      </c>
      <c r="R701">
        <v>76</v>
      </c>
      <c r="S701">
        <v>90</v>
      </c>
      <c r="T701" t="s">
        <v>58</v>
      </c>
    </row>
    <row r="702" spans="1:20" x14ac:dyDescent="0.25">
      <c r="A702">
        <v>22200735</v>
      </c>
      <c r="B702" t="s">
        <v>4</v>
      </c>
      <c r="C702" t="s">
        <v>9</v>
      </c>
      <c r="D702">
        <v>55</v>
      </c>
      <c r="E702">
        <v>38</v>
      </c>
      <c r="F702">
        <v>17</v>
      </c>
      <c r="G702">
        <v>2</v>
      </c>
      <c r="H702" s="1">
        <v>4.6527777777777774E-3</v>
      </c>
      <c r="I702">
        <v>2022</v>
      </c>
      <c r="J702" t="s">
        <v>59</v>
      </c>
      <c r="K702" s="2" t="str">
        <f>HYPERLINK("https://www.nba.com/stats/events?CFID=&amp;CFPARAMS=&amp;GameEventID=239&amp;GameID=0022200735&amp;Season=2022-23&amp;flag=1&amp;title=P.%20George%2017'%20Jump%20Shot%20(14%20PTS)%20(K.%20Leonard%205%20AST)", "P. George 17' Jump Shot (14 PTS) (K. Leonard 5 AST)")</f>
        <v>P. George 17' Jump Shot (14 PTS) (K. Leonard 5 AST)</v>
      </c>
      <c r="L702" s="2" t="str">
        <f>HYPERLINK("https://www.nba.com/game/...-vs-...-0022200735/play-by-play?watchFullGame=true", "LAC vs SAS - Q2 06:42.00")</f>
        <v>LAC vs SAS - Q2 06:42.00</v>
      </c>
      <c r="M702">
        <v>17.43</v>
      </c>
      <c r="N702">
        <v>76.66</v>
      </c>
      <c r="O702">
        <v>60.05</v>
      </c>
      <c r="P702">
        <v>50</v>
      </c>
      <c r="Q702">
        <v>167</v>
      </c>
      <c r="R702">
        <v>76</v>
      </c>
      <c r="S702">
        <v>60</v>
      </c>
      <c r="T702" t="s">
        <v>58</v>
      </c>
    </row>
    <row r="703" spans="1:20" x14ac:dyDescent="0.25">
      <c r="A703">
        <v>22200687</v>
      </c>
      <c r="B703" t="s">
        <v>10</v>
      </c>
      <c r="C703" t="s">
        <v>9</v>
      </c>
      <c r="D703">
        <v>38</v>
      </c>
      <c r="E703">
        <v>32</v>
      </c>
      <c r="F703">
        <v>6</v>
      </c>
      <c r="G703">
        <v>1</v>
      </c>
      <c r="H703" s="1">
        <v>5.5787037037037036E-4</v>
      </c>
      <c r="I703">
        <v>2022</v>
      </c>
      <c r="J703" t="s">
        <v>59</v>
      </c>
      <c r="K703" s="2" t="str">
        <f>HYPERLINK("https://www.nba.com/stats/events?CFID=&amp;CFPARAMS=&amp;GameEventID=125&amp;GameID=0022200687&amp;Season=2022-23&amp;flag=1&amp;title=N.%20Powell%2024'%203PT%20%20(3%20PTS)%20(K.%20Leonard%203%20AST)", "N. Powell 24' 3PT  (3 PTS) (K. Leonard 3 AST)")</f>
        <v>N. Powell 24' 3PT  (3 PTS) (K. Leonard 3 AST)</v>
      </c>
      <c r="L703" s="2" t="str">
        <f>HYPERLINK("https://www.nba.com/game/...-vs-...-0022200687/play-by-play?watchFullGame=true", "LAC vs SAS - Q1 00:48.20")</f>
        <v>LAC vs SAS - Q1 00:48.20</v>
      </c>
      <c r="M703">
        <v>24.36</v>
      </c>
      <c r="N703">
        <v>76.95</v>
      </c>
      <c r="O703">
        <v>86.03</v>
      </c>
      <c r="P703">
        <v>180</v>
      </c>
      <c r="Q703">
        <v>164</v>
      </c>
      <c r="R703">
        <v>76</v>
      </c>
      <c r="S703">
        <v>86</v>
      </c>
      <c r="T703" t="s">
        <v>58</v>
      </c>
    </row>
    <row r="704" spans="1:20" x14ac:dyDescent="0.25">
      <c r="A704">
        <v>22000251</v>
      </c>
      <c r="B704" t="s">
        <v>4</v>
      </c>
      <c r="C704" t="s">
        <v>9</v>
      </c>
      <c r="D704">
        <v>2</v>
      </c>
      <c r="E704">
        <v>0</v>
      </c>
      <c r="F704">
        <v>2</v>
      </c>
      <c r="G704">
        <v>1</v>
      </c>
      <c r="H704" s="1">
        <v>8.1712962962962963E-3</v>
      </c>
      <c r="I704">
        <v>2020</v>
      </c>
      <c r="J704" t="s">
        <v>59</v>
      </c>
      <c r="K704" s="2" t="str">
        <f>HYPERLINK("https://www.nba.com/stats/events?CFID=&amp;CFPARAMS=&amp;GameEventID=7&amp;GameID=0022000251&amp;Season=2020-21&amp;flag=1&amp;title=Ibaka%2016'%20Jump%20Shot%20(2%20PTS)%20(K.%20Leonard%201%20AST)", "S. Ibaka 16' Jump Shot (2 PTS) (K. Leonard 1 AST)")</f>
        <v>S. Ibaka 16' Jump Shot (2 PTS) (K. Leonard 1 AST)</v>
      </c>
      <c r="L704" s="2" t="str">
        <f>HYPERLINK("https://www.nba.com/game/...-vs-...-0022000251/play-by-play?watchFullGame=true", "LAC vs OKC - Q1 11:46.00")</f>
        <v>LAC vs OKC - Q1 11:46.00</v>
      </c>
      <c r="M704">
        <v>16.39</v>
      </c>
      <c r="N704">
        <v>77.87</v>
      </c>
      <c r="O704">
        <v>60.36</v>
      </c>
      <c r="P704">
        <v>52</v>
      </c>
      <c r="Q704">
        <v>155</v>
      </c>
      <c r="R704">
        <v>77</v>
      </c>
      <c r="S704">
        <v>60</v>
      </c>
      <c r="T704" t="s">
        <v>58</v>
      </c>
    </row>
    <row r="705" spans="1:20" x14ac:dyDescent="0.25">
      <c r="A705">
        <v>22300014</v>
      </c>
      <c r="B705" t="s">
        <v>10</v>
      </c>
      <c r="C705" t="s">
        <v>9</v>
      </c>
      <c r="D705">
        <v>26</v>
      </c>
      <c r="E705">
        <v>19</v>
      </c>
      <c r="F705">
        <v>7</v>
      </c>
      <c r="G705">
        <v>1</v>
      </c>
      <c r="H705" s="1">
        <v>2.1990740740740742E-3</v>
      </c>
      <c r="I705">
        <v>2023</v>
      </c>
      <c r="J705" t="s">
        <v>59</v>
      </c>
      <c r="K705" s="2" t="str">
        <f>HYPERLINK("https://www.nba.com/stats/events?CFID=&amp;CFPARAMS=&amp;GameEventID=114&amp;GameID=0022300014&amp;Season=2023-24&amp;flag=1&amp;title=J.%20Harden%2025'%203PT%20%20(11%20PTS)%20(K.%20Leonard%202%20AST)", "J. Harden 25' 3PT  (11 PTS) (K. Leonard 2 AST)")</f>
        <v>J. Harden 25' 3PT  (11 PTS) (K. Leonard 2 AST)</v>
      </c>
      <c r="L705" s="2" t="str">
        <f>HYPERLINK("https://www.nba.com/game/...-vs-...-0022300014/play-by-play?watchFullGame=true", "LAC vs DAL - Q1 03:10.00")</f>
        <v>LAC vs DAL - Q1 03:10.00</v>
      </c>
      <c r="M705">
        <v>25.76</v>
      </c>
      <c r="N705">
        <v>77.61</v>
      </c>
      <c r="O705">
        <v>90.69</v>
      </c>
      <c r="P705">
        <v>203</v>
      </c>
      <c r="Q705">
        <v>158</v>
      </c>
      <c r="R705">
        <v>77</v>
      </c>
      <c r="S705">
        <v>90</v>
      </c>
      <c r="T705" t="s">
        <v>58</v>
      </c>
    </row>
    <row r="706" spans="1:20" x14ac:dyDescent="0.25">
      <c r="A706">
        <v>22000105</v>
      </c>
      <c r="B706" t="s">
        <v>10</v>
      </c>
      <c r="C706" t="s">
        <v>9</v>
      </c>
      <c r="D706">
        <v>99</v>
      </c>
      <c r="E706">
        <v>111</v>
      </c>
      <c r="F706">
        <v>12</v>
      </c>
      <c r="G706">
        <v>4</v>
      </c>
      <c r="H706" s="1">
        <v>3.4027777777777776E-3</v>
      </c>
      <c r="I706">
        <v>2020</v>
      </c>
      <c r="J706" t="s">
        <v>59</v>
      </c>
      <c r="K706" s="2" t="str">
        <f>HYPERLINK("https://www.nba.com/stats/events?CFID=&amp;CFPARAMS=&amp;GameEventID=547&amp;GameID=0022000105&amp;Season=2020-21&amp;flag=1&amp;title=P.%20Beverley%2025'%203PT%20%20(18%20PTS)%20(K.%20Leonard%209%20AST)", "P. Beverley 25' 3PT  (18 PTS) (K. Leonard 9 AST)")</f>
        <v>P. Beverley 25' 3PT  (18 PTS) (K. Leonard 9 AST)</v>
      </c>
      <c r="L706" s="2" t="str">
        <f>HYPERLINK("https://www.nba.com/game/...-vs-...-0022000105/play-by-play?watchFullGame=true", "LAC vs SAS - Q4 04:54.00")</f>
        <v>LAC vs SAS - Q4 04:54.00</v>
      </c>
      <c r="M706">
        <v>25.94</v>
      </c>
      <c r="N706">
        <v>77.349999999999994</v>
      </c>
      <c r="O706">
        <v>90.76</v>
      </c>
      <c r="P706">
        <v>204</v>
      </c>
      <c r="Q706">
        <v>160</v>
      </c>
      <c r="R706">
        <v>77</v>
      </c>
      <c r="S706">
        <v>90</v>
      </c>
      <c r="T706" t="s">
        <v>58</v>
      </c>
    </row>
    <row r="707" spans="1:20" x14ac:dyDescent="0.25">
      <c r="A707">
        <v>22000576</v>
      </c>
      <c r="B707" t="s">
        <v>4</v>
      </c>
      <c r="C707" t="s">
        <v>9</v>
      </c>
      <c r="D707">
        <v>7</v>
      </c>
      <c r="E707">
        <v>3</v>
      </c>
      <c r="F707">
        <v>4</v>
      </c>
      <c r="G707">
        <v>1</v>
      </c>
      <c r="H707" s="1">
        <v>7.1759259259259259E-3</v>
      </c>
      <c r="I707">
        <v>2020</v>
      </c>
      <c r="J707" t="s">
        <v>59</v>
      </c>
      <c r="K707" s="2" t="str">
        <f>HYPERLINK("https://www.nba.com/stats/events?CFID=&amp;CFPARAMS=&amp;GameEventID=22&amp;GameID=0022000576&amp;Season=2020-21&amp;flag=1&amp;title=Ibaka%2015'%20Jump%20Shot%20(7%20PTS)%20(K.%20Leonard%201%20AST)", "S. Ibaka 15' Jump Shot (7 PTS) (K. Leonard 1 AST)")</f>
        <v>S. Ibaka 15' Jump Shot (7 PTS) (K. Leonard 1 AST)</v>
      </c>
      <c r="L707" s="2" t="str">
        <f>HYPERLINK("https://www.nba.com/game/...-vs-...-0022000576/play-by-play?watchFullGame=true", "LAC vs GSW - Q1 10:20.00")</f>
        <v>LAC vs GSW - Q1 10:20.00</v>
      </c>
      <c r="M707">
        <v>15.13</v>
      </c>
      <c r="N707">
        <v>78.66</v>
      </c>
      <c r="O707">
        <v>56.2</v>
      </c>
      <c r="P707">
        <v>31</v>
      </c>
      <c r="Q707">
        <v>148</v>
      </c>
      <c r="R707">
        <v>78</v>
      </c>
      <c r="S707">
        <v>56</v>
      </c>
      <c r="T707" t="s">
        <v>58</v>
      </c>
    </row>
    <row r="708" spans="1:20" x14ac:dyDescent="0.25">
      <c r="A708">
        <v>22000172</v>
      </c>
      <c r="B708" t="s">
        <v>10</v>
      </c>
      <c r="C708" t="s">
        <v>9</v>
      </c>
      <c r="D708">
        <v>73</v>
      </c>
      <c r="E708">
        <v>60</v>
      </c>
      <c r="F708">
        <v>13</v>
      </c>
      <c r="G708">
        <v>3</v>
      </c>
      <c r="H708" s="1">
        <v>4.0393518518518521E-3</v>
      </c>
      <c r="I708">
        <v>2020</v>
      </c>
      <c r="J708" t="s">
        <v>59</v>
      </c>
      <c r="K708" s="2" t="str">
        <f>HYPERLINK("https://www.nba.com/stats/events?CFID=&amp;CFPARAMS=&amp;GameEventID=372&amp;GameID=0022000172&amp;Season=2020-21&amp;flag=1&amp;title=M.%20Morris%20Sr.%2024'%203PT%20%20(8%20PTS)%20(K.%20Leonard%205%20AST)", "M. Morris Sr. 24' 3PT  (8 PTS) (K. Leonard 5 AST)")</f>
        <v>M. Morris Sr. 24' 3PT  (8 PTS) (K. Leonard 5 AST)</v>
      </c>
      <c r="L708" s="2" t="str">
        <f>HYPERLINK("https://www.nba.com/game/...-vs-...-0022000172/play-by-play?watchFullGame=true", "LAC vs NOP - Q3 05:49.00")</f>
        <v>LAC vs NOP - Q3 05:49.00</v>
      </c>
      <c r="M708">
        <v>24.91</v>
      </c>
      <c r="N708">
        <v>78.63</v>
      </c>
      <c r="O708">
        <v>9.98</v>
      </c>
      <c r="P708">
        <v>-200</v>
      </c>
      <c r="Q708">
        <v>148</v>
      </c>
      <c r="R708">
        <v>78</v>
      </c>
      <c r="S708">
        <v>9</v>
      </c>
      <c r="T708" t="s">
        <v>58</v>
      </c>
    </row>
    <row r="709" spans="1:20" x14ac:dyDescent="0.25">
      <c r="A709">
        <v>22400842</v>
      </c>
      <c r="B709" t="s">
        <v>10</v>
      </c>
      <c r="C709" t="s">
        <v>9</v>
      </c>
      <c r="D709">
        <v>70</v>
      </c>
      <c r="E709">
        <v>66</v>
      </c>
      <c r="F709">
        <v>4</v>
      </c>
      <c r="G709">
        <v>3</v>
      </c>
      <c r="H709" s="1">
        <v>6.3425925925925924E-3</v>
      </c>
      <c r="I709">
        <v>2024</v>
      </c>
      <c r="J709" t="s">
        <v>59</v>
      </c>
      <c r="K709" s="2" t="str">
        <f>HYPERLINK("https://www.nba.com/stats/events?CFID=&amp;CFPARAMS=&amp;GameEventID=358&amp;GameID=0022400842&amp;Season=2024-25&amp;flag=1&amp;title=J.%20Harden%2026'%203PT%20%20(8%20PTS)%20(K.%20Leonard%204%20AST)", "J. Harden 26' 3PT  (8 PTS) (K. Leonard 4 AST)")</f>
        <v>J. Harden 26' 3PT  (8 PTS) (K. Leonard 4 AST)</v>
      </c>
      <c r="L709" s="2" t="str">
        <f>HYPERLINK("https://www.nba.com/game/...-vs-...-0022400842/play-by-play?watchFullGame=true", "LAC vs CHI - Q3 09:08.00")</f>
        <v>LAC vs CHI - Q3 09:08.00</v>
      </c>
      <c r="M709">
        <v>26.27</v>
      </c>
      <c r="N709">
        <v>78.45</v>
      </c>
      <c r="O709">
        <v>93.11</v>
      </c>
      <c r="P709">
        <v>216</v>
      </c>
      <c r="Q709">
        <v>150</v>
      </c>
      <c r="R709">
        <v>78</v>
      </c>
      <c r="S709">
        <v>93</v>
      </c>
      <c r="T709" t="s">
        <v>58</v>
      </c>
    </row>
    <row r="710" spans="1:20" x14ac:dyDescent="0.25">
      <c r="A710">
        <v>42200172</v>
      </c>
      <c r="B710" t="s">
        <v>10</v>
      </c>
      <c r="C710" t="s">
        <v>9</v>
      </c>
      <c r="D710">
        <v>18</v>
      </c>
      <c r="E710">
        <v>15</v>
      </c>
      <c r="F710">
        <v>3</v>
      </c>
      <c r="G710">
        <v>1</v>
      </c>
      <c r="H710" s="1">
        <v>3.0439814814814813E-3</v>
      </c>
      <c r="I710" t="s">
        <v>67</v>
      </c>
      <c r="J710" t="s">
        <v>59</v>
      </c>
      <c r="K710" s="2" t="str">
        <f>HYPERLINK("https://www.nba.com/stats/events?CFID=&amp;CFPARAMS=&amp;GameEventID=87&amp;GameID=0042200172&amp;Season=2022-23&amp;flag=1&amp;title=T.%20Mann%2027'%203PT%20%20(3%20PTS)%20(K.%20Leonard%204%20AST)", "T. Mann 27' 3PT  (3 PTS) (K. Leonard 4 AST)")</f>
        <v>T. Mann 27' 3PT  (3 PTS) (K. Leonard 4 AST)</v>
      </c>
      <c r="L710" s="2" t="str">
        <f>HYPERLINK("https://www.nba.com/game/...-vs-...-0042200172/play-by-play?watchFullGame=true", "LAC vs PHX - Q1 04:23.00")</f>
        <v>LAC vs PHX - Q1 04:23.00</v>
      </c>
      <c r="M710">
        <v>27.49</v>
      </c>
      <c r="N710">
        <v>78.27</v>
      </c>
      <c r="O710">
        <v>4.17</v>
      </c>
      <c r="P710">
        <v>78</v>
      </c>
      <c r="Q710">
        <v>4</v>
      </c>
      <c r="R710">
        <v>78</v>
      </c>
      <c r="S710">
        <v>4</v>
      </c>
      <c r="T710" t="s">
        <v>58</v>
      </c>
    </row>
    <row r="711" spans="1:20" x14ac:dyDescent="0.25">
      <c r="A711">
        <v>22400646</v>
      </c>
      <c r="B711" t="s">
        <v>4</v>
      </c>
      <c r="C711" t="s">
        <v>9</v>
      </c>
      <c r="D711">
        <v>45</v>
      </c>
      <c r="E711">
        <v>45</v>
      </c>
      <c r="F711">
        <v>0</v>
      </c>
      <c r="G711">
        <v>2</v>
      </c>
      <c r="H711" s="1">
        <v>3.6921296296296298E-3</v>
      </c>
      <c r="I711">
        <v>2024</v>
      </c>
      <c r="J711" t="s">
        <v>59</v>
      </c>
      <c r="K711" s="2" t="str">
        <f>HYPERLINK("https://www.nba.com/stats/events?CFID=&amp;CFPARAMS=&amp;GameEventID=251&amp;GameID=0022400646&amp;Season=2024-25&amp;flag=1&amp;title=K.%20Porter%20Jr.%2015'%20pullup%20Jump%20Shot%20(6%20PTS)%20(K.%20Leonard%202%20AST)", "K. Porter Jr. 15' pullup Jump Shot (6 PTS) (K. Leonard 2 AST)")</f>
        <v>K. Porter Jr. 15' pullup Jump Shot (6 PTS) (K. Leonard 2 AST)</v>
      </c>
      <c r="L711" s="2" t="str">
        <f>HYPERLINK("https://www.nba.com/game/...-vs-...-0022400646/play-by-play?watchFullGame=true", "LAC vs MIL - Q2 05:19.00")</f>
        <v>LAC vs MIL - Q2 05:19.00</v>
      </c>
      <c r="M711">
        <v>15.18</v>
      </c>
      <c r="N711">
        <v>78.400000000000006</v>
      </c>
      <c r="O711">
        <v>46.08</v>
      </c>
      <c r="P711">
        <v>-20</v>
      </c>
      <c r="Q711">
        <v>151</v>
      </c>
      <c r="R711">
        <v>78</v>
      </c>
      <c r="S711">
        <v>46</v>
      </c>
      <c r="T711" t="s">
        <v>58</v>
      </c>
    </row>
    <row r="712" spans="1:20" x14ac:dyDescent="0.25">
      <c r="A712">
        <v>42000177</v>
      </c>
      <c r="B712" t="s">
        <v>10</v>
      </c>
      <c r="C712" t="s">
        <v>9</v>
      </c>
      <c r="D712">
        <v>46</v>
      </c>
      <c r="E712">
        <v>40</v>
      </c>
      <c r="F712">
        <v>6</v>
      </c>
      <c r="G712">
        <v>2</v>
      </c>
      <c r="H712" s="1">
        <v>5.6597222222222222E-3</v>
      </c>
      <c r="I712" t="s">
        <v>66</v>
      </c>
      <c r="J712" t="s">
        <v>59</v>
      </c>
      <c r="K712" s="2" t="str">
        <f>HYPERLINK("https://www.nba.com/stats/events?CFID=&amp;CFPARAMS=&amp;GameEventID=212&amp;GameID=0042000177&amp;Season=2020-21&amp;flag=1&amp;title=M.%20Morris%20Sr.%2025'%203PT%20%20(9%20PTS)%20(K.%20Leonard%202%20AST)", "M. Morris Sr. 25' 3PT  (9 PTS) (K. Leonard 2 AST)")</f>
        <v>M. Morris Sr. 25' 3PT  (9 PTS) (K. Leonard 2 AST)</v>
      </c>
      <c r="L712" s="2" t="str">
        <f>HYPERLINK("https://www.nba.com/game/...-vs-...-0042000177/play-by-play?watchFullGame=true", "LAC vs DAL - Q2 08:09.00")</f>
        <v>LAC vs DAL - Q2 08:09.00</v>
      </c>
      <c r="M712">
        <v>25.59</v>
      </c>
      <c r="N712">
        <v>78.930000000000007</v>
      </c>
      <c r="O712">
        <v>7.91</v>
      </c>
      <c r="P712">
        <v>78</v>
      </c>
      <c r="Q712">
        <v>7</v>
      </c>
      <c r="R712">
        <v>78</v>
      </c>
      <c r="S712">
        <v>7</v>
      </c>
      <c r="T712" t="s">
        <v>58</v>
      </c>
    </row>
    <row r="713" spans="1:20" x14ac:dyDescent="0.25">
      <c r="A713">
        <v>21900276</v>
      </c>
      <c r="B713" t="s">
        <v>10</v>
      </c>
      <c r="C713" t="s">
        <v>61</v>
      </c>
      <c r="D713">
        <v>60</v>
      </c>
      <c r="E713">
        <v>58</v>
      </c>
      <c r="F713">
        <v>2</v>
      </c>
      <c r="G713">
        <v>3</v>
      </c>
      <c r="H713" s="1">
        <v>6.3078703703703708E-3</v>
      </c>
      <c r="I713">
        <v>2019</v>
      </c>
      <c r="J713" t="s">
        <v>59</v>
      </c>
      <c r="K713" s="2" t="str">
        <f>HYPERLINK("https://www.nba.com/stats/events?CFID=&amp;CFPARAMS=&amp;GameEventID=368&amp;GameID=0021900276&amp;Season=2019-20&amp;flag=1&amp;title=P.%20Beverley%2026'%203PT%20%20(10%20PTS)%20(K.%20Leonard%205%20AST)", "P. Beverley 26' 3PT  (10 PTS) (K. Leonard 5 AST)")</f>
        <v>P. Beverley 26' 3PT  (10 PTS) (K. Leonard 5 AST)</v>
      </c>
      <c r="L713" s="2" t="str">
        <f>HYPERLINK("https://www.nba.com/game/...-vs-...-0021900276/play-by-play?watchFullGame=true", "LAC vs SAS - Q3 09:05.00")</f>
        <v>LAC vs SAS - Q3 09:05.00</v>
      </c>
      <c r="M713">
        <v>25.75</v>
      </c>
      <c r="N713">
        <v>79.58</v>
      </c>
      <c r="O713">
        <v>7.42</v>
      </c>
      <c r="P713">
        <v>-213</v>
      </c>
      <c r="Q713">
        <v>139</v>
      </c>
      <c r="R713">
        <v>79</v>
      </c>
      <c r="S713">
        <v>7</v>
      </c>
      <c r="T713" t="s">
        <v>58</v>
      </c>
    </row>
    <row r="714" spans="1:20" x14ac:dyDescent="0.25">
      <c r="A714">
        <v>22301064</v>
      </c>
      <c r="B714" t="s">
        <v>4</v>
      </c>
      <c r="C714" t="s">
        <v>9</v>
      </c>
      <c r="D714">
        <v>75</v>
      </c>
      <c r="E714">
        <v>71</v>
      </c>
      <c r="F714">
        <v>4</v>
      </c>
      <c r="G714">
        <v>3</v>
      </c>
      <c r="H714" s="1">
        <v>1.3078703703703703E-3</v>
      </c>
      <c r="I714">
        <v>2023</v>
      </c>
      <c r="J714" t="s">
        <v>59</v>
      </c>
      <c r="K714" s="2" t="str">
        <f>HYPERLINK("https://www.nba.com/stats/events?CFID=&amp;CFPARAMS=&amp;GameEventID=440&amp;GameID=0022301064&amp;Season=2023-24&amp;flag=1&amp;title=N.%20Powell%2014'%20pullup%20Jump%20Shot%20(10%20PTS)%20(K.%20Leonard%204%20AST)", "N. Powell 14' pullup Jump Shot (10 PTS) (K. Leonard 4 AST)")</f>
        <v>N. Powell 14' pullup Jump Shot (10 PTS) (K. Leonard 4 AST)</v>
      </c>
      <c r="L714" s="2" t="str">
        <f>HYPERLINK("https://www.nba.com/game/...-vs-...-0022301064/play-by-play?watchFullGame=true", "LAC vs ORL - Q3 01:53.00")</f>
        <v>LAC vs ORL - Q3 01:53.00</v>
      </c>
      <c r="M714">
        <v>14.59</v>
      </c>
      <c r="N714">
        <v>79.849999999999994</v>
      </c>
      <c r="O714">
        <v>39.950000000000003</v>
      </c>
      <c r="P714">
        <v>-50</v>
      </c>
      <c r="Q714">
        <v>137</v>
      </c>
      <c r="R714">
        <v>79</v>
      </c>
      <c r="S714">
        <v>39</v>
      </c>
      <c r="T714" t="s">
        <v>58</v>
      </c>
    </row>
    <row r="715" spans="1:20" x14ac:dyDescent="0.25">
      <c r="A715">
        <v>22200829</v>
      </c>
      <c r="B715" t="s">
        <v>4</v>
      </c>
      <c r="C715" t="s">
        <v>9</v>
      </c>
      <c r="D715">
        <v>11</v>
      </c>
      <c r="E715">
        <v>24</v>
      </c>
      <c r="F715">
        <v>13</v>
      </c>
      <c r="G715">
        <v>1</v>
      </c>
      <c r="H715" s="1">
        <v>4.6180555555555558E-3</v>
      </c>
      <c r="I715">
        <v>2022</v>
      </c>
      <c r="J715" t="s">
        <v>59</v>
      </c>
      <c r="K715" s="2" t="str">
        <f>HYPERLINK("https://www.nba.com/stats/events?CFID=&amp;CFPARAMS=&amp;GameEventID=51&amp;GameID=0022200829&amp;Season=2022-23&amp;flag=1&amp;title=T.%20Mann%2018'%20pullup%20Jump%20Shot%20(7%20PTS)%20(K.%20Leonard%201%20AST)", "T. Mann 18' pullup Jump Shot (7 PTS) (K. Leonard 1 AST)")</f>
        <v>T. Mann 18' pullup Jump Shot (7 PTS) (K. Leonard 1 AST)</v>
      </c>
      <c r="L715" s="2" t="str">
        <f>HYPERLINK("https://www.nba.com/game/...-vs-...-0022200829/play-by-play?watchFullGame=true", "LAC vs DAL - Q1 06:39.00")</f>
        <v>LAC vs DAL - Q1 06:39.00</v>
      </c>
      <c r="M715">
        <v>18.649999999999999</v>
      </c>
      <c r="N715">
        <v>79.81</v>
      </c>
      <c r="O715">
        <v>75.25</v>
      </c>
      <c r="P715">
        <v>126</v>
      </c>
      <c r="Q715">
        <v>137</v>
      </c>
      <c r="R715">
        <v>79</v>
      </c>
      <c r="S715">
        <v>75</v>
      </c>
      <c r="T715" t="s">
        <v>58</v>
      </c>
    </row>
    <row r="716" spans="1:20" x14ac:dyDescent="0.25">
      <c r="A716">
        <v>22000788</v>
      </c>
      <c r="B716" t="s">
        <v>10</v>
      </c>
      <c r="C716" t="s">
        <v>9</v>
      </c>
      <c r="D716">
        <v>64</v>
      </c>
      <c r="E716">
        <v>67</v>
      </c>
      <c r="F716">
        <v>3</v>
      </c>
      <c r="G716">
        <v>3</v>
      </c>
      <c r="H716" s="1">
        <v>5.6134259259259262E-3</v>
      </c>
      <c r="I716">
        <v>2020</v>
      </c>
      <c r="J716" t="s">
        <v>59</v>
      </c>
      <c r="K716" s="2" t="str">
        <f>HYPERLINK("https://www.nba.com/stats/events?CFID=&amp;CFPARAMS=&amp;GameEventID=318&amp;GameID=0022000788&amp;Season=2020-21&amp;flag=1&amp;title=M.%20Morris%20Sr.%2025'%203PT%20%20(8%20PTS)%20(K.%20Leonard%203%20AST)", "M. Morris Sr. 25' 3PT  (8 PTS) (K. Leonard 3 AST)")</f>
        <v>M. Morris Sr. 25' 3PT  (8 PTS) (K. Leonard 3 AST)</v>
      </c>
      <c r="L716" s="2" t="str">
        <f>HYPERLINK("https://www.nba.com/game/...-vs-...-0022000788/play-by-play?watchFullGame=true", "LAC vs PHX - Q3 08:05.00")</f>
        <v>LAC vs PHX - Q3 08:05.00</v>
      </c>
      <c r="M716">
        <v>25.63</v>
      </c>
      <c r="N716">
        <v>79.849999999999994</v>
      </c>
      <c r="O716">
        <v>6.69</v>
      </c>
      <c r="P716">
        <v>-217</v>
      </c>
      <c r="Q716">
        <v>137</v>
      </c>
      <c r="R716">
        <v>79</v>
      </c>
      <c r="S716">
        <v>6</v>
      </c>
      <c r="T716" t="s">
        <v>58</v>
      </c>
    </row>
    <row r="717" spans="1:20" x14ac:dyDescent="0.25">
      <c r="A717">
        <v>22000239</v>
      </c>
      <c r="B717" t="s">
        <v>10</v>
      </c>
      <c r="C717" t="s">
        <v>9</v>
      </c>
      <c r="D717">
        <v>9</v>
      </c>
      <c r="E717">
        <v>6</v>
      </c>
      <c r="F717">
        <v>3</v>
      </c>
      <c r="G717">
        <v>1</v>
      </c>
      <c r="H717" s="1">
        <v>5.9606481481481481E-3</v>
      </c>
      <c r="I717">
        <v>2020</v>
      </c>
      <c r="J717" t="s">
        <v>59</v>
      </c>
      <c r="K717" s="2" t="str">
        <f>HYPERLINK("https://www.nba.com/stats/events?CFID=&amp;CFPARAMS=&amp;GameEventID=41&amp;GameID=0022000239&amp;Season=2020-21&amp;flag=1&amp;title=N.%20Batum%2025'%203PT%20%20(3%20PTS)%20(K.%20Leonard%201%20AST)", "N. Batum 25' 3PT  (3 PTS) (K. Leonard 1 AST)")</f>
        <v>N. Batum 25' 3PT  (3 PTS) (K. Leonard 1 AST)</v>
      </c>
      <c r="L717" s="2" t="str">
        <f>HYPERLINK("https://www.nba.com/game/...-vs-...-0022000239/play-by-play?watchFullGame=true", "LAC vs OKC - Q1 08:35.00")</f>
        <v>LAC vs OKC - Q1 08:35.00</v>
      </c>
      <c r="M717">
        <v>25.78</v>
      </c>
      <c r="N717">
        <v>79.45</v>
      </c>
      <c r="O717">
        <v>93.21</v>
      </c>
      <c r="P717">
        <v>216</v>
      </c>
      <c r="Q717">
        <v>141</v>
      </c>
      <c r="R717">
        <v>79</v>
      </c>
      <c r="S717">
        <v>93</v>
      </c>
      <c r="T717" t="s">
        <v>58</v>
      </c>
    </row>
    <row r="718" spans="1:20" x14ac:dyDescent="0.25">
      <c r="A718">
        <v>22001002</v>
      </c>
      <c r="B718" t="s">
        <v>10</v>
      </c>
      <c r="C718" t="s">
        <v>9</v>
      </c>
      <c r="D718">
        <v>62</v>
      </c>
      <c r="E718">
        <v>38</v>
      </c>
      <c r="F718">
        <v>24</v>
      </c>
      <c r="G718">
        <v>2</v>
      </c>
      <c r="H718" s="1">
        <v>1.4583333333333334E-3</v>
      </c>
      <c r="I718">
        <v>2020</v>
      </c>
      <c r="J718" t="s">
        <v>59</v>
      </c>
      <c r="K718" s="2" t="str">
        <f>HYPERLINK("https://www.nba.com/stats/events?CFID=&amp;CFPARAMS=&amp;GameEventID=275&amp;GameID=0022001002&amp;Season=2020-21&amp;flag=1&amp;title=P.%20George%2025'%203PT%20%20(12%20PTS)%20(K.%20Leonard%204%20AST)", "P. George 25' 3PT  (12 PTS) (K. Leonard 4 AST)")</f>
        <v>P. George 25' 3PT  (12 PTS) (K. Leonard 4 AST)</v>
      </c>
      <c r="L718" s="2" t="str">
        <f>HYPERLINK("https://www.nba.com/game/...-vs-...-0022001002/play-by-play?watchFullGame=true", "LAC vs LAL - Q2 02:06.00")</f>
        <v>LAC vs LAL - Q2 02:06.00</v>
      </c>
      <c r="M718">
        <v>25.38</v>
      </c>
      <c r="N718">
        <v>79.319999999999993</v>
      </c>
      <c r="O718">
        <v>7.91</v>
      </c>
      <c r="P718">
        <v>-210</v>
      </c>
      <c r="Q718">
        <v>142</v>
      </c>
      <c r="R718">
        <v>79</v>
      </c>
      <c r="S718">
        <v>7</v>
      </c>
      <c r="T718" t="s">
        <v>58</v>
      </c>
    </row>
    <row r="719" spans="1:20" x14ac:dyDescent="0.25">
      <c r="A719">
        <v>22000509</v>
      </c>
      <c r="B719" t="s">
        <v>4</v>
      </c>
      <c r="C719" t="s">
        <v>9</v>
      </c>
      <c r="D719">
        <v>13</v>
      </c>
      <c r="E719">
        <v>14</v>
      </c>
      <c r="F719">
        <v>1</v>
      </c>
      <c r="G719">
        <v>1</v>
      </c>
      <c r="H719" s="1">
        <v>4.1203703703703706E-3</v>
      </c>
      <c r="I719">
        <v>2020</v>
      </c>
      <c r="J719" t="s">
        <v>59</v>
      </c>
      <c r="K719" s="2" t="str">
        <f>HYPERLINK("https://www.nba.com/stats/events?CFID=&amp;CFPARAMS=&amp;GameEventID=76&amp;GameID=0022000509&amp;Season=2020-21&amp;flag=1&amp;title=Ibaka%2019'%20Jump%20Shot%20(4%20PTS)%20(K.%20Leonard%202%20AST)", "S. Ibaka 19' Jump Shot (4 PTS) (K. Leonard 2 AST)")</f>
        <v>S. Ibaka 19' Jump Shot (4 PTS) (K. Leonard 2 AST)</v>
      </c>
      <c r="L719" s="2" t="str">
        <f>HYPERLINK("https://www.nba.com/game/...-vs-...-0022000509/play-by-play?watchFullGame=true", "LAC vs MEM - Q1 05:56.00")</f>
        <v>LAC vs MEM - Q1 05:56.00</v>
      </c>
      <c r="M719">
        <v>19.809999999999999</v>
      </c>
      <c r="N719">
        <v>79.98</v>
      </c>
      <c r="O719">
        <v>21.15</v>
      </c>
      <c r="P719">
        <v>-144</v>
      </c>
      <c r="Q719">
        <v>136</v>
      </c>
      <c r="R719">
        <v>79</v>
      </c>
      <c r="S719">
        <v>21</v>
      </c>
      <c r="T719" t="s">
        <v>58</v>
      </c>
    </row>
    <row r="720" spans="1:20" x14ac:dyDescent="0.25">
      <c r="A720">
        <v>22000576</v>
      </c>
      <c r="B720" t="s">
        <v>10</v>
      </c>
      <c r="C720" t="s">
        <v>9</v>
      </c>
      <c r="D720">
        <v>54</v>
      </c>
      <c r="E720">
        <v>37</v>
      </c>
      <c r="F720">
        <v>17</v>
      </c>
      <c r="G720">
        <v>2</v>
      </c>
      <c r="H720" s="1">
        <v>1.8981481481481482E-3</v>
      </c>
      <c r="I720">
        <v>2020</v>
      </c>
      <c r="J720" t="s">
        <v>59</v>
      </c>
      <c r="K720" s="2" t="str">
        <f>HYPERLINK("https://www.nba.com/stats/events?CFID=&amp;CFPARAMS=&amp;GameEventID=299&amp;GameID=0022000576&amp;Season=2020-21&amp;flag=1&amp;title=P.%20George%2025'%203PT%20running%20pullup%20(5%20PTS)%20(K.%20Leonard%204%20AST)", "P. George 25' 3PT running pullup (5 PTS) (K. Leonard 4 AST)")</f>
        <v>P. George 25' 3PT running pullup (5 PTS) (K. Leonard 4 AST)</v>
      </c>
      <c r="L720" s="2" t="str">
        <f>HYPERLINK("https://www.nba.com/game/...-vs-...-0022000576/play-by-play?watchFullGame=true", "LAC vs GSW - Q2 02:44.00")</f>
        <v>LAC vs GSW - Q2 02:44.00</v>
      </c>
      <c r="M720">
        <v>25.75</v>
      </c>
      <c r="N720">
        <v>79.19</v>
      </c>
      <c r="O720">
        <v>7.18</v>
      </c>
      <c r="P720">
        <v>-214</v>
      </c>
      <c r="Q720">
        <v>143</v>
      </c>
      <c r="R720">
        <v>79</v>
      </c>
      <c r="S720">
        <v>7</v>
      </c>
      <c r="T720" t="s">
        <v>58</v>
      </c>
    </row>
    <row r="721" spans="1:20" x14ac:dyDescent="0.25">
      <c r="A721">
        <v>22300658</v>
      </c>
      <c r="B721" t="s">
        <v>4</v>
      </c>
      <c r="C721" t="s">
        <v>9</v>
      </c>
      <c r="D721">
        <v>17</v>
      </c>
      <c r="E721">
        <v>19</v>
      </c>
      <c r="F721">
        <v>2</v>
      </c>
      <c r="G721">
        <v>1</v>
      </c>
      <c r="H721" s="1">
        <v>2.673611111111111E-3</v>
      </c>
      <c r="I721">
        <v>2023</v>
      </c>
      <c r="J721" t="s">
        <v>59</v>
      </c>
      <c r="K721" s="2" t="str">
        <f>HYPERLINK("https://www.nba.com/stats/events?CFID=&amp;CFPARAMS=&amp;GameEventID=107&amp;GameID=0022300658&amp;Season=2023-24&amp;flag=1&amp;title=A.%20Coffey%2013'%20Jump%20Shot%20(2%20PTS)%20(K.%20Leonard%202%20AST)", "A. Coffey 13' Jump Shot (2 PTS) (K. Leonard 2 AST)")</f>
        <v>A. Coffey 13' Jump Shot (2 PTS) (K. Leonard 2 AST)</v>
      </c>
      <c r="L721" s="2" t="str">
        <f>HYPERLINK("https://www.nba.com/game/...-vs-...-0022300658/play-by-play?watchFullGame=true", "LAC vs CLE - Q1 03:51.00")</f>
        <v>LAC vs CLE - Q1 03:51.00</v>
      </c>
      <c r="M721">
        <v>13.31</v>
      </c>
      <c r="N721">
        <v>80.63</v>
      </c>
      <c r="O721">
        <v>56.13</v>
      </c>
      <c r="P721">
        <v>31</v>
      </c>
      <c r="Q721">
        <v>130</v>
      </c>
      <c r="R721">
        <v>80</v>
      </c>
      <c r="S721">
        <v>56</v>
      </c>
      <c r="T721" t="s">
        <v>58</v>
      </c>
    </row>
    <row r="722" spans="1:20" x14ac:dyDescent="0.25">
      <c r="A722">
        <v>22200932</v>
      </c>
      <c r="B722" t="s">
        <v>4</v>
      </c>
      <c r="C722" t="s">
        <v>9</v>
      </c>
      <c r="D722">
        <v>4</v>
      </c>
      <c r="E722">
        <v>0</v>
      </c>
      <c r="F722">
        <v>4</v>
      </c>
      <c r="G722">
        <v>1</v>
      </c>
      <c r="H722" s="1">
        <v>7.6620370370370366E-3</v>
      </c>
      <c r="I722">
        <v>2022</v>
      </c>
      <c r="J722" t="s">
        <v>59</v>
      </c>
      <c r="K722" s="2" t="str">
        <f>HYPERLINK("https://www.nba.com/stats/events?CFID=&amp;CFPARAMS=&amp;GameEventID=11&amp;GameID=0022200932&amp;Season=2022-23&amp;flag=1&amp;title=P.%20George%2017'%20pullup%20Jump%20Shot%20(2%20PTS)%20(K.%20Leonard%201%20AST)", "P. George 17' pullup Jump Shot (2 PTS) (K. Leonard 1 AST)")</f>
        <v>P. George 17' pullup Jump Shot (2 PTS) (K. Leonard 1 AST)</v>
      </c>
      <c r="L722" s="2" t="str">
        <f>HYPERLINK("https://www.nba.com/game/...-vs-...-0022200932/play-by-play?watchFullGame=true", "LAC vs MIN - Q1 11:02.00")</f>
        <v>LAC vs MIN - Q1 11:02.00</v>
      </c>
      <c r="M722">
        <v>17.18</v>
      </c>
      <c r="N722">
        <v>80.86</v>
      </c>
      <c r="O722">
        <v>73.040000000000006</v>
      </c>
      <c r="P722">
        <v>115</v>
      </c>
      <c r="Q722">
        <v>127</v>
      </c>
      <c r="R722">
        <v>80</v>
      </c>
      <c r="S722">
        <v>73</v>
      </c>
      <c r="T722" t="s">
        <v>58</v>
      </c>
    </row>
    <row r="723" spans="1:20" x14ac:dyDescent="0.25">
      <c r="A723">
        <v>22201004</v>
      </c>
      <c r="B723" t="s">
        <v>4</v>
      </c>
      <c r="C723" t="s">
        <v>9</v>
      </c>
      <c r="D723">
        <v>43</v>
      </c>
      <c r="E723">
        <v>40</v>
      </c>
      <c r="F723">
        <v>3</v>
      </c>
      <c r="G723">
        <v>2</v>
      </c>
      <c r="H723" s="1">
        <v>1.7939814814814815E-3</v>
      </c>
      <c r="I723">
        <v>2022</v>
      </c>
      <c r="J723" t="s">
        <v>59</v>
      </c>
      <c r="K723" s="2" t="str">
        <f>HYPERLINK("https://www.nba.com/stats/events?CFID=&amp;CFPARAMS=&amp;GameEventID=281&amp;GameID=0022201004&amp;Season=2022-23&amp;flag=1&amp;title=P.%20George%2016'%20Jump%20Shot%20(11%20PTS)%20(K.%20Leonard%202%20AST)", "P. George 16' Jump Shot (11 PTS) (K. Leonard 2 AST)")</f>
        <v>P. George 16' Jump Shot (11 PTS) (K. Leonard 2 AST)</v>
      </c>
      <c r="L723" s="2" t="str">
        <f>HYPERLINK("https://www.nba.com/game/...-vs-...-0022201004/play-by-play?watchFullGame=true", "LAC vs NYK - Q2 02:35.00")</f>
        <v>LAC vs NYK - Q2 02:35.00</v>
      </c>
      <c r="M723">
        <v>16.72</v>
      </c>
      <c r="N723">
        <v>80.599999999999994</v>
      </c>
      <c r="O723">
        <v>71.08</v>
      </c>
      <c r="P723">
        <v>105</v>
      </c>
      <c r="Q723">
        <v>130</v>
      </c>
      <c r="R723">
        <v>80</v>
      </c>
      <c r="S723">
        <v>71</v>
      </c>
      <c r="T723" t="s">
        <v>58</v>
      </c>
    </row>
    <row r="724" spans="1:20" x14ac:dyDescent="0.25">
      <c r="A724">
        <v>22200408</v>
      </c>
      <c r="B724" t="s">
        <v>4</v>
      </c>
      <c r="C724" t="s">
        <v>9</v>
      </c>
      <c r="D724">
        <v>44</v>
      </c>
      <c r="E724">
        <v>41</v>
      </c>
      <c r="F724">
        <v>3</v>
      </c>
      <c r="G724">
        <v>2</v>
      </c>
      <c r="H724" s="1">
        <v>3.2870370370370371E-3</v>
      </c>
      <c r="I724">
        <v>2022</v>
      </c>
      <c r="J724" t="s">
        <v>59</v>
      </c>
      <c r="K724" s="2" t="str">
        <f>HYPERLINK("https://www.nba.com/stats/events?CFID=&amp;CFPARAMS=&amp;GameEventID=260&amp;GameID=0022200408&amp;Season=2022-23&amp;flag=1&amp;title=M.%20Morris%20Sr.%2012'%20pullup%20Jump%20Shot%20(9%20PTS)%20(K.%20Leonard%204%20AST)", "M. Morris Sr. 12' pullup Jump Shot (9 PTS) (K. Leonard 4 AST)")</f>
        <v>M. Morris Sr. 12' pullup Jump Shot (9 PTS) (K. Leonard 4 AST)</v>
      </c>
      <c r="L724" s="2" t="str">
        <f>HYPERLINK("https://www.nba.com/game/...-vs-...-0022200408/play-by-play?watchFullGame=true", "LAC vs BOS - Q2 04:44.00")</f>
        <v>LAC vs BOS - Q2 04:44.00</v>
      </c>
      <c r="M724">
        <v>12.89</v>
      </c>
      <c r="N724">
        <v>80.73</v>
      </c>
      <c r="O724">
        <v>48.28</v>
      </c>
      <c r="P724">
        <v>-9</v>
      </c>
      <c r="Q724">
        <v>129</v>
      </c>
      <c r="R724">
        <v>80</v>
      </c>
      <c r="S724">
        <v>48</v>
      </c>
      <c r="T724" t="s">
        <v>58</v>
      </c>
    </row>
    <row r="725" spans="1:20" x14ac:dyDescent="0.25">
      <c r="A725">
        <v>41900155</v>
      </c>
      <c r="B725" t="s">
        <v>10</v>
      </c>
      <c r="C725" t="s">
        <v>61</v>
      </c>
      <c r="D725">
        <v>93</v>
      </c>
      <c r="E725">
        <v>65</v>
      </c>
      <c r="F725">
        <v>28</v>
      </c>
      <c r="G725">
        <v>3</v>
      </c>
      <c r="H725" s="1">
        <v>5.138888888888889E-3</v>
      </c>
      <c r="I725" t="s">
        <v>68</v>
      </c>
      <c r="J725" t="s">
        <v>59</v>
      </c>
      <c r="K725" s="2" t="str">
        <f>HYPERLINK("https://www.nba.com/stats/events?CFID=&amp;CFPARAMS=&amp;GameEventID=420&amp;GameID=0041900155&amp;Season=2019-20&amp;flag=1&amp;title=M.%20Morris%20Sr.%2025'%203PT%20%20(12%20PTS)%20(K.%20Leonard%203%20AST)", "M. Morris Sr. 25' 3PT  (12 PTS) (K. Leonard 3 AST)")</f>
        <v>M. Morris Sr. 25' 3PT  (12 PTS) (K. Leonard 3 AST)</v>
      </c>
      <c r="L725" s="2" t="str">
        <f>HYPERLINK("https://www.nba.com/game/...-vs-...-0041900155/play-by-play?watchFullGame=true", "LAC vs DAL - Q3 07:24.00")</f>
        <v>LAC vs DAL - Q3 07:24.00</v>
      </c>
      <c r="M725">
        <v>25.38</v>
      </c>
      <c r="N725">
        <v>80.5</v>
      </c>
      <c r="O725">
        <v>7.18</v>
      </c>
      <c r="P725">
        <v>-214</v>
      </c>
      <c r="Q725">
        <v>131</v>
      </c>
      <c r="R725">
        <v>80</v>
      </c>
      <c r="S725">
        <v>7</v>
      </c>
      <c r="T725" t="s">
        <v>58</v>
      </c>
    </row>
    <row r="726" spans="1:20" x14ac:dyDescent="0.25">
      <c r="A726">
        <v>22200784</v>
      </c>
      <c r="B726" t="s">
        <v>4</v>
      </c>
      <c r="C726" t="s">
        <v>9</v>
      </c>
      <c r="D726">
        <v>65</v>
      </c>
      <c r="E726">
        <v>49</v>
      </c>
      <c r="F726">
        <v>16</v>
      </c>
      <c r="G726">
        <v>3</v>
      </c>
      <c r="H726" s="1">
        <v>7.1296296296296299E-3</v>
      </c>
      <c r="I726">
        <v>2022</v>
      </c>
      <c r="J726" t="s">
        <v>59</v>
      </c>
      <c r="K726" s="2" t="str">
        <f>HYPERLINK("https://www.nba.com/stats/events?CFID=&amp;CFPARAMS=&amp;GameEventID=329&amp;GameID=0022200784&amp;Season=2022-23&amp;flag=1&amp;title=M.%20Morris%20Sr.%2014'%20pullup%20Jump%20Shot%20(14%20PTS)%20(K.%20Leonard%202%20AST)", "M. Morris Sr. 14' pullup Jump Shot (14 PTS) (K. Leonard 2 AST)")</f>
        <v>M. Morris Sr. 14' pullup Jump Shot (14 PTS) (K. Leonard 2 AST)</v>
      </c>
      <c r="L726" s="2" t="str">
        <f>HYPERLINK("https://www.nba.com/game/...-vs-...-0022200784/play-by-play?watchFullGame=true", "LAC vs MIL - Q3 10:16.00")</f>
        <v>LAC vs MIL - Q3 10:16.00</v>
      </c>
      <c r="M726">
        <v>14.32</v>
      </c>
      <c r="N726">
        <v>81.42</v>
      </c>
      <c r="O726">
        <v>35.049999999999997</v>
      </c>
      <c r="P726">
        <v>-75</v>
      </c>
      <c r="Q726">
        <v>122</v>
      </c>
      <c r="R726">
        <v>81</v>
      </c>
      <c r="S726">
        <v>35</v>
      </c>
      <c r="T726" t="s">
        <v>58</v>
      </c>
    </row>
    <row r="727" spans="1:20" x14ac:dyDescent="0.25">
      <c r="A727">
        <v>21900339</v>
      </c>
      <c r="B727" t="s">
        <v>10</v>
      </c>
      <c r="C727" t="s">
        <v>61</v>
      </c>
      <c r="D727">
        <v>23</v>
      </c>
      <c r="E727">
        <v>16</v>
      </c>
      <c r="F727">
        <v>7</v>
      </c>
      <c r="G727">
        <v>1</v>
      </c>
      <c r="H727" s="1">
        <v>3.8194444444444443E-3</v>
      </c>
      <c r="I727">
        <v>2019</v>
      </c>
      <c r="J727" t="s">
        <v>59</v>
      </c>
      <c r="K727" s="2" t="str">
        <f>HYPERLINK("https://www.nba.com/stats/events?CFID=&amp;CFPARAMS=&amp;GameEventID=86&amp;GameID=0021900339&amp;Season=2019-20&amp;flag=1&amp;title=M.%20Harkless%2025'%203PT%20%20(3%20PTS)%20(K.%20Leonard%203%20AST)", "M. Harkless 25' 3PT  (3 PTS) (K. Leonard 3 AST)")</f>
        <v>M. Harkless 25' 3PT  (3 PTS) (K. Leonard 3 AST)</v>
      </c>
      <c r="L727" s="2" t="str">
        <f>HYPERLINK("https://www.nba.com/game/...-vs-...-0021900339/play-by-play?watchFullGame=true", "LAC vs WAS - Q1 05:30.00")</f>
        <v>LAC vs WAS - Q1 05:30.00</v>
      </c>
      <c r="M727">
        <v>25.28</v>
      </c>
      <c r="N727">
        <v>81.260000000000005</v>
      </c>
      <c r="O727">
        <v>6.55</v>
      </c>
      <c r="P727">
        <v>-217</v>
      </c>
      <c r="Q727">
        <v>124</v>
      </c>
      <c r="R727">
        <v>81</v>
      </c>
      <c r="S727">
        <v>6</v>
      </c>
      <c r="T727" t="s">
        <v>58</v>
      </c>
    </row>
    <row r="728" spans="1:20" x14ac:dyDescent="0.25">
      <c r="A728">
        <v>22000488</v>
      </c>
      <c r="B728" t="s">
        <v>4</v>
      </c>
      <c r="C728" t="s">
        <v>9</v>
      </c>
      <c r="D728">
        <v>36</v>
      </c>
      <c r="E728">
        <v>20</v>
      </c>
      <c r="F728">
        <v>16</v>
      </c>
      <c r="G728">
        <v>1</v>
      </c>
      <c r="H728" s="1">
        <v>1.9675925925925925E-5</v>
      </c>
      <c r="I728">
        <v>2020</v>
      </c>
      <c r="J728" t="s">
        <v>59</v>
      </c>
      <c r="K728" s="2" t="str">
        <f>HYPERLINK("https://www.nba.com/stats/events?CFID=&amp;CFPARAMS=&amp;GameEventID=154&amp;GameID=0022000488&amp;Season=2020-21&amp;flag=1&amp;title=M.%20Morris%20Sr.%2011'%20pullup%20Jump%20Shot%20(2%20PTS)%20(K.%20Leonard%202%20AST)", "M. Morris Sr. 11' pullup Jump Shot (2 PTS) (K. Leonard 2 AST)")</f>
        <v>M. Morris Sr. 11' pullup Jump Shot (2 PTS) (K. Leonard 2 AST)</v>
      </c>
      <c r="L728" s="2" t="str">
        <f>HYPERLINK("https://www.nba.com/game/...-vs-...-0022000488/play-by-play?watchFullGame=true", "LAC vs WAS - Q1 00:01.70")</f>
        <v>LAC vs WAS - Q1 00:01.70</v>
      </c>
      <c r="M728">
        <v>11.86</v>
      </c>
      <c r="N728">
        <v>81.819999999999993</v>
      </c>
      <c r="O728">
        <v>48.6</v>
      </c>
      <c r="P728">
        <v>-7</v>
      </c>
      <c r="Q728">
        <v>118</v>
      </c>
      <c r="R728">
        <v>81</v>
      </c>
      <c r="S728">
        <v>48</v>
      </c>
      <c r="T728" t="s">
        <v>58</v>
      </c>
    </row>
    <row r="729" spans="1:20" x14ac:dyDescent="0.25">
      <c r="A729">
        <v>21900359</v>
      </c>
      <c r="B729" t="s">
        <v>10</v>
      </c>
      <c r="C729" t="s">
        <v>61</v>
      </c>
      <c r="D729">
        <v>98</v>
      </c>
      <c r="E729">
        <v>79</v>
      </c>
      <c r="F729">
        <v>19</v>
      </c>
      <c r="G729">
        <v>4</v>
      </c>
      <c r="H729" s="1">
        <v>4.3518518518518515E-3</v>
      </c>
      <c r="I729">
        <v>2019</v>
      </c>
      <c r="J729" t="s">
        <v>59</v>
      </c>
      <c r="K729" s="2" t="str">
        <f>HYPERLINK("https://www.nba.com/stats/events?CFID=&amp;CFPARAMS=&amp;GameEventID=632&amp;GameID=0021900359&amp;Season=2019-20&amp;flag=1&amp;title=P.%20Patterson%2026'%203PT%20%20(9%20PTS)%20(K.%20Leonard%206%20AST)", "P. Patterson 26' 3PT  (9 PTS) (K. Leonard 6 AST)")</f>
        <v>P. Patterson 26' 3PT  (9 PTS) (K. Leonard 6 AST)</v>
      </c>
      <c r="L729" s="2" t="str">
        <f>HYPERLINK("https://www.nba.com/game/...-vs-...-0021900359/play-by-play?watchFullGame=true", "LAC vs TOR - Q4 06:16.00")</f>
        <v>LAC vs TOR - Q4 06:16.00</v>
      </c>
      <c r="M729">
        <v>25.73</v>
      </c>
      <c r="N729">
        <v>81.290000000000006</v>
      </c>
      <c r="O729">
        <v>5.46</v>
      </c>
      <c r="P729">
        <v>-223</v>
      </c>
      <c r="Q729">
        <v>123</v>
      </c>
      <c r="R729">
        <v>81</v>
      </c>
      <c r="S729">
        <v>5</v>
      </c>
      <c r="T729" t="s">
        <v>58</v>
      </c>
    </row>
    <row r="730" spans="1:20" x14ac:dyDescent="0.25">
      <c r="A730">
        <v>22301225</v>
      </c>
      <c r="B730" t="s">
        <v>10</v>
      </c>
      <c r="C730" t="s">
        <v>9</v>
      </c>
      <c r="D730">
        <v>59</v>
      </c>
      <c r="E730">
        <v>46</v>
      </c>
      <c r="F730">
        <v>13</v>
      </c>
      <c r="G730">
        <v>2</v>
      </c>
      <c r="H730" s="1">
        <v>1.5046296296296297E-5</v>
      </c>
      <c r="I730">
        <v>2023</v>
      </c>
      <c r="J730" t="s">
        <v>59</v>
      </c>
      <c r="K730" s="2" t="str">
        <f>HYPERLINK("https://www.nba.com/stats/events?CFID=&amp;CFPARAMS=&amp;GameEventID=330&amp;GameID=0022301225&amp;Season=2023-24&amp;flag=1&amp;title=T.%20Mann%2025'%203PT%20pullup%20(8%20PTS)%20(K.%20Leonard%202%20AST)", "T. Mann 25' 3PT pullup (8 PTS) (K. Leonard 2 AST)")</f>
        <v>T. Mann 25' 3PT pullup (8 PTS) (K. Leonard 2 AST)</v>
      </c>
      <c r="L730" s="2" t="str">
        <f>HYPERLINK("https://www.nba.com/game/...-vs-...-0022301225/play-by-play?watchFullGame=true", "LAC vs UTA - Q2 00:01.30")</f>
        <v>LAC vs UTA - Q2 00:01.30</v>
      </c>
      <c r="M730">
        <v>25.26</v>
      </c>
      <c r="N730">
        <v>81.55</v>
      </c>
      <c r="O730">
        <v>5.64</v>
      </c>
      <c r="P730">
        <v>-222</v>
      </c>
      <c r="Q730">
        <v>121</v>
      </c>
      <c r="R730">
        <v>81</v>
      </c>
      <c r="S730">
        <v>5</v>
      </c>
      <c r="T730" t="s">
        <v>58</v>
      </c>
    </row>
    <row r="731" spans="1:20" x14ac:dyDescent="0.25">
      <c r="A731">
        <v>21900035</v>
      </c>
      <c r="B731" t="s">
        <v>4</v>
      </c>
      <c r="C731" t="s">
        <v>61</v>
      </c>
      <c r="D731">
        <v>68</v>
      </c>
      <c r="E731">
        <v>69</v>
      </c>
      <c r="F731">
        <v>1</v>
      </c>
      <c r="G731">
        <v>3</v>
      </c>
      <c r="H731" s="1">
        <v>4.363425925925926E-3</v>
      </c>
      <c r="I731">
        <v>2019</v>
      </c>
      <c r="J731" t="s">
        <v>59</v>
      </c>
      <c r="K731" s="2" t="str">
        <f>HYPERLINK("https://www.nba.com/stats/events?CFID=&amp;CFPARAMS=&amp;GameEventID=453&amp;GameID=0021900035&amp;Season=2019-20&amp;flag=1&amp;title=[LAC]%20Beverley%20jumpshot:%20Made%20(11%20PTS)%20assist:%20Leonard%20(6%20AST)", "[LAC] Beverley jumpshot: Made (11 PTS) assist: Leonard (6 AST)")</f>
        <v>[LAC] Beverley jumpshot: Made (11 PTS) assist: Leonard (6 AST)</v>
      </c>
      <c r="L731" s="2" t="str">
        <f>HYPERLINK("https://www.nba.com/game/...-vs-...-0021900035/play-by-play?watchFullGame=true", "LAC vs PHX - Q3 06:17.00")</f>
        <v>LAC vs PHX - Q3 06:17.00</v>
      </c>
      <c r="M731">
        <v>13.33</v>
      </c>
      <c r="N731">
        <v>82.87</v>
      </c>
      <c r="O731">
        <v>63.79</v>
      </c>
      <c r="P731">
        <v>69</v>
      </c>
      <c r="Q731">
        <v>109</v>
      </c>
      <c r="R731">
        <v>82</v>
      </c>
      <c r="S731">
        <v>63</v>
      </c>
      <c r="T731" t="s">
        <v>58</v>
      </c>
    </row>
    <row r="732" spans="1:20" x14ac:dyDescent="0.25">
      <c r="A732">
        <v>21900276</v>
      </c>
      <c r="B732" t="s">
        <v>10</v>
      </c>
      <c r="C732" t="s">
        <v>61</v>
      </c>
      <c r="D732">
        <v>74</v>
      </c>
      <c r="E732">
        <v>87</v>
      </c>
      <c r="F732">
        <v>13</v>
      </c>
      <c r="G732">
        <v>4</v>
      </c>
      <c r="H732" s="1">
        <v>6.8402777777777776E-3</v>
      </c>
      <c r="I732">
        <v>2019</v>
      </c>
      <c r="J732" t="s">
        <v>59</v>
      </c>
      <c r="K732" s="2" t="str">
        <f>HYPERLINK("https://www.nba.com/stats/events?CFID=&amp;CFPARAMS=&amp;GameEventID=530&amp;GameID=0021900276&amp;Season=2019-20&amp;flag=1&amp;title=J.%20Green%2024'%203PT%20%20(11%20PTS)%20(K.%20Leonard%206%20AST)", "J. Green 24' 3PT  (11 PTS) (K. Leonard 6 AST)")</f>
        <v>J. Green 24' 3PT  (11 PTS) (K. Leonard 6 AST)</v>
      </c>
      <c r="L732" s="2" t="str">
        <f>HYPERLINK("https://www.nba.com/game/...-vs-...-0021900276/play-by-play?watchFullGame=true", "LAC vs SAS - Q4 09:51.00")</f>
        <v>LAC vs SAS - Q4 09:51.00</v>
      </c>
      <c r="M732">
        <v>24.23</v>
      </c>
      <c r="N732">
        <v>82.34</v>
      </c>
      <c r="O732">
        <v>92.23</v>
      </c>
      <c r="P732">
        <v>211</v>
      </c>
      <c r="Q732">
        <v>113</v>
      </c>
      <c r="R732">
        <v>82</v>
      </c>
      <c r="S732">
        <v>92</v>
      </c>
      <c r="T732" t="s">
        <v>58</v>
      </c>
    </row>
    <row r="733" spans="1:20" x14ac:dyDescent="0.25">
      <c r="A733">
        <v>22000105</v>
      </c>
      <c r="B733" t="s">
        <v>10</v>
      </c>
      <c r="C733" t="s">
        <v>9</v>
      </c>
      <c r="D733">
        <v>58</v>
      </c>
      <c r="E733">
        <v>69</v>
      </c>
      <c r="F733">
        <v>11</v>
      </c>
      <c r="G733">
        <v>3</v>
      </c>
      <c r="H733" s="1">
        <v>5.7870370370370367E-3</v>
      </c>
      <c r="I733">
        <v>2020</v>
      </c>
      <c r="J733" t="s">
        <v>59</v>
      </c>
      <c r="K733" s="2" t="str">
        <f>HYPERLINK("https://www.nba.com/stats/events?CFID=&amp;CFPARAMS=&amp;GameEventID=356&amp;GameID=0022000105&amp;Season=2020-21&amp;flag=1&amp;title=P.%20Beverley%2025'%203PT%20%20(6%20PTS)%20(K.%20Leonard%204%20AST)", "P. Beverley 25' 3PT  (6 PTS) (K. Leonard 4 AST)")</f>
        <v>P. Beverley 25' 3PT  (6 PTS) (K. Leonard 4 AST)</v>
      </c>
      <c r="L733" s="2" t="str">
        <f>HYPERLINK("https://www.nba.com/game/...-vs-...-0022000105/play-by-play?watchFullGame=true", "LAC vs SAS - Q3 08:20.00")</f>
        <v>LAC vs SAS - Q3 08:20.00</v>
      </c>
      <c r="M733">
        <v>25.44</v>
      </c>
      <c r="N733">
        <v>82.74</v>
      </c>
      <c r="O733">
        <v>95.9</v>
      </c>
      <c r="P733">
        <v>230</v>
      </c>
      <c r="Q733">
        <v>110</v>
      </c>
      <c r="R733">
        <v>82</v>
      </c>
      <c r="S733">
        <v>95</v>
      </c>
      <c r="T733" t="s">
        <v>58</v>
      </c>
    </row>
    <row r="734" spans="1:20" x14ac:dyDescent="0.25">
      <c r="A734">
        <v>21900359</v>
      </c>
      <c r="B734" t="s">
        <v>4</v>
      </c>
      <c r="C734" t="s">
        <v>61</v>
      </c>
      <c r="D734">
        <v>76</v>
      </c>
      <c r="E734">
        <v>69</v>
      </c>
      <c r="F734">
        <v>7</v>
      </c>
      <c r="G734">
        <v>3</v>
      </c>
      <c r="H734" s="1">
        <v>3.1712962962962962E-3</v>
      </c>
      <c r="I734">
        <v>2019</v>
      </c>
      <c r="J734" t="s">
        <v>59</v>
      </c>
      <c r="K734" s="2" t="str">
        <f>HYPERLINK("https://www.nba.com/stats/events?CFID=&amp;CFPARAMS=&amp;GameEventID=480&amp;GameID=0021900359&amp;Season=2019-20&amp;flag=1&amp;title=P.%20Patterson%2012'%20jumpshot%20(4%20PTS)%20(K.%20Leonard%203%20AST)", "P. Patterson 12' jumpshot (4 PTS) (K. Leonard 3 AST)")</f>
        <v>P. Patterson 12' jumpshot (4 PTS) (K. Leonard 3 AST)</v>
      </c>
      <c r="L734" s="2" t="str">
        <f>HYPERLINK("https://www.nba.com/game/...-vs-...-0021900359/play-by-play?watchFullGame=true", "LAC vs TOR - Q3 04:34.00")</f>
        <v>LAC vs TOR - Q3 04:34.00</v>
      </c>
      <c r="M734">
        <v>12.49</v>
      </c>
      <c r="N734">
        <v>82.61</v>
      </c>
      <c r="O734">
        <v>41</v>
      </c>
      <c r="P734">
        <v>-45</v>
      </c>
      <c r="Q734">
        <v>111</v>
      </c>
      <c r="R734">
        <v>82</v>
      </c>
      <c r="S734">
        <v>41</v>
      </c>
      <c r="T734" t="s">
        <v>58</v>
      </c>
    </row>
    <row r="735" spans="1:20" x14ac:dyDescent="0.25">
      <c r="A735">
        <v>21900002</v>
      </c>
      <c r="B735" t="s">
        <v>10</v>
      </c>
      <c r="C735" t="s">
        <v>9</v>
      </c>
      <c r="D735">
        <v>22</v>
      </c>
      <c r="E735">
        <v>25</v>
      </c>
      <c r="F735">
        <v>3</v>
      </c>
      <c r="G735">
        <v>1</v>
      </c>
      <c r="H735" s="1">
        <v>2.4074074074074075E-4</v>
      </c>
      <c r="I735">
        <v>2019</v>
      </c>
      <c r="J735" t="s">
        <v>59</v>
      </c>
      <c r="K735" s="2" t="str">
        <f>HYPERLINK("https://www.nba.com/stats/events?CFID=&amp;CFPARAMS=&amp;GameEventID=171&amp;GameID=0021900002&amp;Season=2019-20&amp;flag=1&amp;title=J.%20Green%2024'%203PT%20%20(6%20PTS)%20(K.%20Leonard%202%20AST)", "J. Green 24' 3PT  (6 PTS) (K. Leonard 2 AST)")</f>
        <v>J. Green 24' 3PT  (6 PTS) (K. Leonard 2 AST)</v>
      </c>
      <c r="L735" s="2" t="str">
        <f>HYPERLINK("https://www.nba.com/game/...-vs-...-0021900002/play-by-play?watchFullGame=true", "LAC vs LAL - Q1 00:20.80")</f>
        <v>LAC vs LAL - Q1 00:20.80</v>
      </c>
      <c r="M735">
        <v>24.47</v>
      </c>
      <c r="N735">
        <v>82.79</v>
      </c>
      <c r="O735">
        <v>6.77</v>
      </c>
      <c r="P735">
        <v>-216</v>
      </c>
      <c r="Q735">
        <v>109</v>
      </c>
      <c r="R735">
        <v>82</v>
      </c>
      <c r="S735">
        <v>6</v>
      </c>
      <c r="T735" t="s">
        <v>58</v>
      </c>
    </row>
    <row r="736" spans="1:20" x14ac:dyDescent="0.25">
      <c r="A736">
        <v>21900626</v>
      </c>
      <c r="B736" t="s">
        <v>4</v>
      </c>
      <c r="C736" t="s">
        <v>61</v>
      </c>
      <c r="D736">
        <v>128</v>
      </c>
      <c r="E736">
        <v>120</v>
      </c>
      <c r="F736">
        <v>8</v>
      </c>
      <c r="G736">
        <v>4</v>
      </c>
      <c r="H736" s="1">
        <v>2.3379629629629631E-3</v>
      </c>
      <c r="I736">
        <v>2019</v>
      </c>
      <c r="J736" t="s">
        <v>59</v>
      </c>
      <c r="K736" s="2" t="str">
        <f>HYPERLINK("https://www.nba.com/stats/events?CFID=&amp;CFPARAMS=&amp;GameEventID=710&amp;GameID=0021900626&amp;Season=2019-20&amp;flag=1&amp;title=M.%20Harrell%2012'%20jumpshot%20(24%20PTS)%20(K.%20Leonard%206%20AST)", "M. Harrell 12' jumpshot (24 PTS) (K. Leonard 6 AST)")</f>
        <v>M. Harrell 12' jumpshot (24 PTS) (K. Leonard 6 AST)</v>
      </c>
      <c r="L736" s="2" t="str">
        <f>HYPERLINK("https://www.nba.com/game/...-vs-...-0021900626/play-by-play?watchFullGame=true", "LAC vs NOP - Q4 03:22.00")</f>
        <v>LAC vs NOP - Q4 03:22.00</v>
      </c>
      <c r="M736">
        <v>11.77</v>
      </c>
      <c r="N736">
        <v>82.47</v>
      </c>
      <c r="O736">
        <v>50.07</v>
      </c>
      <c r="P736">
        <v>82</v>
      </c>
      <c r="Q736">
        <v>112</v>
      </c>
      <c r="R736">
        <v>82</v>
      </c>
      <c r="S736">
        <v>50</v>
      </c>
      <c r="T736" t="s">
        <v>58</v>
      </c>
    </row>
    <row r="737" spans="1:20" x14ac:dyDescent="0.25">
      <c r="A737">
        <v>21900359</v>
      </c>
      <c r="B737" t="s">
        <v>4</v>
      </c>
      <c r="C737" t="s">
        <v>61</v>
      </c>
      <c r="D737">
        <v>78</v>
      </c>
      <c r="E737">
        <v>71</v>
      </c>
      <c r="F737">
        <v>7</v>
      </c>
      <c r="G737">
        <v>3</v>
      </c>
      <c r="H737" s="1">
        <v>2.3958333333333331E-3</v>
      </c>
      <c r="I737">
        <v>2019</v>
      </c>
      <c r="J737" t="s">
        <v>59</v>
      </c>
      <c r="K737" s="2" t="str">
        <f>HYPERLINK("https://www.nba.com/stats/events?CFID=&amp;CFPARAMS=&amp;GameEventID=492&amp;GameID=0021900359&amp;Season=2019-20&amp;flag=1&amp;title=P.%20George%2012'%20jumpshot%20(8%20PTS)%20(K.%20Leonard%204%20AST)", "P. George 12' jumpshot (8 PTS) (K. Leonard 4 AST)")</f>
        <v>P. George 12' jumpshot (8 PTS) (K. Leonard 4 AST)</v>
      </c>
      <c r="L737" s="2" t="str">
        <f>HYPERLINK("https://www.nba.com/game/...-vs-...-0021900359/play-by-play?watchFullGame=true", "LAC vs TOR - Q3 03:27.00")</f>
        <v>LAC vs TOR - Q3 03:27.00</v>
      </c>
      <c r="M737">
        <v>11.88</v>
      </c>
      <c r="N737">
        <v>82.74</v>
      </c>
      <c r="O737">
        <v>55.71</v>
      </c>
      <c r="P737">
        <v>29</v>
      </c>
      <c r="Q737">
        <v>110</v>
      </c>
      <c r="R737">
        <v>82</v>
      </c>
      <c r="S737">
        <v>55</v>
      </c>
      <c r="T737" t="s">
        <v>58</v>
      </c>
    </row>
    <row r="738" spans="1:20" x14ac:dyDescent="0.25">
      <c r="A738">
        <v>22300014</v>
      </c>
      <c r="B738" t="s">
        <v>10</v>
      </c>
      <c r="C738" t="s">
        <v>9</v>
      </c>
      <c r="D738">
        <v>5</v>
      </c>
      <c r="E738">
        <v>0</v>
      </c>
      <c r="F738">
        <v>5</v>
      </c>
      <c r="G738">
        <v>1</v>
      </c>
      <c r="H738" s="1">
        <v>7.4421296296296293E-3</v>
      </c>
      <c r="I738">
        <v>2023</v>
      </c>
      <c r="J738" t="s">
        <v>59</v>
      </c>
      <c r="K738" s="2" t="str">
        <f>HYPERLINK("https://www.nba.com/stats/events?CFID=&amp;CFPARAMS=&amp;GameEventID=17&amp;GameID=0022300014&amp;Season=2023-24&amp;flag=1&amp;title=J.%20Harden%2024'%203PT%20%20(3%20PTS)%20(K.%20Leonard%201%20AST)", "J. Harden 24' 3PT  (3 PTS) (K. Leonard 1 AST)")</f>
        <v>J. Harden 24' 3PT  (3 PTS) (K. Leonard 1 AST)</v>
      </c>
      <c r="L738" s="2" t="str">
        <f>HYPERLINK("https://www.nba.com/game/...-vs-...-0022300014/play-by-play?watchFullGame=true", "LAC vs DAL - Q1 10:43.00")</f>
        <v>LAC vs DAL - Q1 10:43.00</v>
      </c>
      <c r="M738">
        <v>24.92</v>
      </c>
      <c r="N738">
        <v>82.87</v>
      </c>
      <c r="O738">
        <v>94.85</v>
      </c>
      <c r="P738">
        <v>224</v>
      </c>
      <c r="Q738">
        <v>109</v>
      </c>
      <c r="R738">
        <v>82</v>
      </c>
      <c r="S738">
        <v>94</v>
      </c>
      <c r="T738" t="s">
        <v>58</v>
      </c>
    </row>
    <row r="739" spans="1:20" x14ac:dyDescent="0.25">
      <c r="A739">
        <v>22300127</v>
      </c>
      <c r="B739" t="s">
        <v>4</v>
      </c>
      <c r="C739" t="s">
        <v>70</v>
      </c>
      <c r="D739">
        <v>59</v>
      </c>
      <c r="E739">
        <v>44</v>
      </c>
      <c r="F739">
        <v>15</v>
      </c>
      <c r="G739">
        <v>2</v>
      </c>
      <c r="H739" s="1">
        <v>8.9120370370370373E-4</v>
      </c>
      <c r="I739">
        <v>2023</v>
      </c>
      <c r="J739" t="s">
        <v>59</v>
      </c>
      <c r="K739" s="2" t="str">
        <f>HYPERLINK("https://www.nba.com/stats/events?CFID=&amp;CFPARAMS=&amp;GameEventID=300&amp;GameID=0022300127&amp;Season=2023-24&amp;flag=1&amp;title=I.%20Zubac%2010'%20Hook%20(6%20PTS)%20(K.%20Leonard%204%20AST)", "I. Zubac 10' Hook (6 PTS) (K. Leonard 4 AST)")</f>
        <v>I. Zubac 10' Hook (6 PTS) (K. Leonard 4 AST)</v>
      </c>
      <c r="L739" s="2" t="str">
        <f>HYPERLINK("https://www.nba.com/game/...-vs-...-0022300127/play-by-play?watchFullGame=true", "LAC vs LAL - Q2 01:17.00")</f>
        <v>LAC vs LAL - Q2 01:17.00</v>
      </c>
      <c r="M739">
        <v>10.99</v>
      </c>
      <c r="N739">
        <v>82.84</v>
      </c>
      <c r="O739">
        <v>52.94</v>
      </c>
      <c r="P739">
        <v>15</v>
      </c>
      <c r="Q739">
        <v>109</v>
      </c>
      <c r="R739">
        <v>82</v>
      </c>
      <c r="S739">
        <v>52</v>
      </c>
      <c r="T739" t="s">
        <v>58</v>
      </c>
    </row>
    <row r="740" spans="1:20" x14ac:dyDescent="0.25">
      <c r="A740">
        <v>41900232</v>
      </c>
      <c r="B740" t="s">
        <v>10</v>
      </c>
      <c r="C740" t="s">
        <v>61</v>
      </c>
      <c r="D740">
        <v>9</v>
      </c>
      <c r="E740">
        <v>18</v>
      </c>
      <c r="F740">
        <v>9</v>
      </c>
      <c r="G740">
        <v>1</v>
      </c>
      <c r="H740" s="1">
        <v>4.3055555555555555E-3</v>
      </c>
      <c r="I740" t="s">
        <v>62</v>
      </c>
      <c r="J740" t="s">
        <v>59</v>
      </c>
      <c r="K740" s="2" t="str">
        <f>HYPERLINK("https://www.nba.com/stats/events?CFID=&amp;CFPARAMS=&amp;GameEventID=67&amp;GameID=0041900232&amp;Season=2019-20&amp;flag=1&amp;title=P.%20George%2025'%203PT%20%20(3%20PTS)%20(K.%20Leonard%201%20AST)", "P. George 25' 3PT  (3 PTS) (K. Leonard 1 AST)")</f>
        <v>P. George 25' 3PT  (3 PTS) (K. Leonard 1 AST)</v>
      </c>
      <c r="L740" s="2" t="str">
        <f>HYPERLINK("https://www.nba.com/game/...-vs-...-0041900232/play-by-play?watchFullGame=true", "LAC vs DEN - Q1 06:12.00")</f>
        <v>LAC vs DEN - Q1 06:12.00</v>
      </c>
      <c r="M740">
        <v>25.13</v>
      </c>
      <c r="N740">
        <v>83</v>
      </c>
      <c r="O740">
        <v>94.92</v>
      </c>
      <c r="P740">
        <v>225</v>
      </c>
      <c r="Q740">
        <v>107</v>
      </c>
      <c r="R740">
        <v>82</v>
      </c>
      <c r="S740">
        <v>94</v>
      </c>
      <c r="T740" t="s">
        <v>58</v>
      </c>
    </row>
    <row r="741" spans="1:20" x14ac:dyDescent="0.25">
      <c r="A741">
        <v>42000174</v>
      </c>
      <c r="B741" t="s">
        <v>10</v>
      </c>
      <c r="C741" t="s">
        <v>9</v>
      </c>
      <c r="D741">
        <v>60</v>
      </c>
      <c r="E741">
        <v>42</v>
      </c>
      <c r="F741">
        <v>18</v>
      </c>
      <c r="G741">
        <v>2</v>
      </c>
      <c r="H741" s="1">
        <v>7.8703703703703705E-4</v>
      </c>
      <c r="I741" t="s">
        <v>66</v>
      </c>
      <c r="J741" t="s">
        <v>59</v>
      </c>
      <c r="K741" s="2" t="str">
        <f>HYPERLINK("https://www.nba.com/stats/events?CFID=&amp;CFPARAMS=&amp;GameEventID=321&amp;GameID=0042000174&amp;Season=2020-21&amp;flag=1&amp;title=R.%20Rondo%2024'%203PT%20%20(5%20PTS)%20(K.%20Leonard%202%20AST)", "R. Rondo 24' 3PT  (5 PTS) (K. Leonard 2 AST)")</f>
        <v>R. Rondo 24' 3PT  (5 PTS) (K. Leonard 2 AST)</v>
      </c>
      <c r="L741" s="2" t="str">
        <f>HYPERLINK("https://www.nba.com/game/...-vs-...-0042000174/play-by-play?watchFullGame=true", "LAC vs DAL - Q2 01:08.00")</f>
        <v>LAC vs DAL - Q2 01:08.00</v>
      </c>
      <c r="M741">
        <v>24.89</v>
      </c>
      <c r="N741">
        <v>82.08</v>
      </c>
      <c r="O741">
        <v>5.95</v>
      </c>
      <c r="P741">
        <v>82</v>
      </c>
      <c r="Q741">
        <v>5</v>
      </c>
      <c r="R741">
        <v>82</v>
      </c>
      <c r="S741">
        <v>5</v>
      </c>
      <c r="T741" t="s">
        <v>58</v>
      </c>
    </row>
    <row r="742" spans="1:20" x14ac:dyDescent="0.25">
      <c r="A742">
        <v>22200701</v>
      </c>
      <c r="B742" t="s">
        <v>10</v>
      </c>
      <c r="C742" t="s">
        <v>9</v>
      </c>
      <c r="D742">
        <v>41</v>
      </c>
      <c r="E742">
        <v>48</v>
      </c>
      <c r="F742">
        <v>7</v>
      </c>
      <c r="G742">
        <v>2</v>
      </c>
      <c r="H742" s="1">
        <v>1.6435185185185185E-3</v>
      </c>
      <c r="I742">
        <v>2022</v>
      </c>
      <c r="J742" t="s">
        <v>59</v>
      </c>
      <c r="K742" s="2" t="str">
        <f>HYPERLINK("https://www.nba.com/stats/events?CFID=&amp;CFPARAMS=&amp;GameEventID=277&amp;GameID=0022200701&amp;Season=2022-23&amp;flag=1&amp;title=N.%20Batum%2025'%203PT%20%20(3%20PTS)%20(K.%20Leonard%202%20AST)", "N. Batum 25' 3PT  (3 PTS) (K. Leonard 2 AST)")</f>
        <v>N. Batum 25' 3PT  (3 PTS) (K. Leonard 2 AST)</v>
      </c>
      <c r="L742" s="2" t="str">
        <f>HYPERLINK("https://www.nba.com/game/...-vs-...-0022200701/play-by-play?watchFullGame=true", "LAC vs DAL - Q2 02:22.00")</f>
        <v>LAC vs DAL - Q2 02:22.00</v>
      </c>
      <c r="M742">
        <v>25.53</v>
      </c>
      <c r="N742">
        <v>83.26</v>
      </c>
      <c r="O742">
        <v>3.43</v>
      </c>
      <c r="P742">
        <v>-233</v>
      </c>
      <c r="Q742">
        <v>105</v>
      </c>
      <c r="R742">
        <v>83</v>
      </c>
      <c r="S742">
        <v>3</v>
      </c>
      <c r="T742" t="s">
        <v>58</v>
      </c>
    </row>
    <row r="743" spans="1:20" x14ac:dyDescent="0.25">
      <c r="A743">
        <v>22200745</v>
      </c>
      <c r="B743" t="s">
        <v>4</v>
      </c>
      <c r="C743" t="s">
        <v>9</v>
      </c>
      <c r="D743">
        <v>19</v>
      </c>
      <c r="E743">
        <v>19</v>
      </c>
      <c r="F743">
        <v>0</v>
      </c>
      <c r="G743">
        <v>1</v>
      </c>
      <c r="H743" s="1">
        <v>2.1875000000000002E-3</v>
      </c>
      <c r="I743">
        <v>2022</v>
      </c>
      <c r="J743" t="s">
        <v>59</v>
      </c>
      <c r="K743" s="2" t="str">
        <f>HYPERLINK("https://www.nba.com/stats/events?CFID=&amp;CFPARAMS=&amp;GameEventID=96&amp;GameID=0022200745&amp;Season=2022-23&amp;flag=1&amp;title=N.%20Powell%2010'%20driving%20floating%20Jump%20Shot%20(2%20PTS)%20(K.%20Leonard%202%20AST)", "N. Powell 10' driving floating Jump Shot (2 PTS) (K. Leonard 2 AST)")</f>
        <v>N. Powell 10' driving floating Jump Shot (2 PTS) (K. Leonard 2 AST)</v>
      </c>
      <c r="L743" s="2" t="str">
        <f>HYPERLINK("https://www.nba.com/game/...-vs-...-0022200745/play-by-play?watchFullGame=true", "LAC vs ATL - Q1 03:09.00")</f>
        <v>LAC vs ATL - Q1 03:09.00</v>
      </c>
      <c r="M743">
        <v>10.88</v>
      </c>
      <c r="N743">
        <v>83.26</v>
      </c>
      <c r="O743">
        <v>55.88</v>
      </c>
      <c r="P743">
        <v>29</v>
      </c>
      <c r="Q743">
        <v>105</v>
      </c>
      <c r="R743">
        <v>83</v>
      </c>
      <c r="S743">
        <v>55</v>
      </c>
      <c r="T743" t="s">
        <v>58</v>
      </c>
    </row>
    <row r="744" spans="1:20" x14ac:dyDescent="0.25">
      <c r="A744">
        <v>22000799</v>
      </c>
      <c r="B744" t="s">
        <v>10</v>
      </c>
      <c r="C744" t="s">
        <v>9</v>
      </c>
      <c r="D744">
        <v>45</v>
      </c>
      <c r="E744">
        <v>43</v>
      </c>
      <c r="F744">
        <v>2</v>
      </c>
      <c r="G744">
        <v>2</v>
      </c>
      <c r="H744" s="1">
        <v>4.178240740740741E-3</v>
      </c>
      <c r="I744">
        <v>2020</v>
      </c>
      <c r="J744" t="s">
        <v>59</v>
      </c>
      <c r="K744" s="2" t="str">
        <f>HYPERLINK("https://www.nba.com/stats/events?CFID=&amp;CFPARAMS=&amp;GameEventID=249&amp;GameID=0022000799&amp;Season=2020-21&amp;flag=1&amp;title=R.%20Jackson%2026'%203PT%20%20(17%20PTS)%20(K.%20Leonard%204%20AST)", "R. Jackson 26' 3PT  (17 PTS) (K. Leonard 4 AST)")</f>
        <v>R. Jackson 26' 3PT  (17 PTS) (K. Leonard 4 AST)</v>
      </c>
      <c r="L744" s="2" t="str">
        <f>HYPERLINK("https://www.nba.com/game/...-vs-...-0022000799/play-by-play?watchFullGame=true", "LAC vs HOU - Q2 06:01.00")</f>
        <v>LAC vs HOU - Q2 06:01.00</v>
      </c>
      <c r="M744">
        <v>26.66</v>
      </c>
      <c r="N744">
        <v>83.66</v>
      </c>
      <c r="O744">
        <v>99.33</v>
      </c>
      <c r="P744">
        <v>247</v>
      </c>
      <c r="Q744">
        <v>101</v>
      </c>
      <c r="R744">
        <v>83</v>
      </c>
      <c r="S744">
        <v>99</v>
      </c>
      <c r="T744" t="s">
        <v>58</v>
      </c>
    </row>
    <row r="745" spans="1:20" x14ac:dyDescent="0.25">
      <c r="A745">
        <v>22200223</v>
      </c>
      <c r="B745" t="s">
        <v>4</v>
      </c>
      <c r="C745" t="s">
        <v>9</v>
      </c>
      <c r="D745">
        <v>22</v>
      </c>
      <c r="E745">
        <v>30</v>
      </c>
      <c r="F745">
        <v>8</v>
      </c>
      <c r="G745">
        <v>2</v>
      </c>
      <c r="H745" s="1">
        <v>5.5555555555555558E-3</v>
      </c>
      <c r="I745">
        <v>2022</v>
      </c>
      <c r="J745" t="s">
        <v>59</v>
      </c>
      <c r="K745" s="2" t="str">
        <f>HYPERLINK("https://www.nba.com/stats/events?CFID=&amp;CFPARAMS=&amp;GameEventID=213&amp;GameID=0022200223&amp;Season=2022-23&amp;flag=1&amp;title=R.%20Jackson%2011'%20driving%20floating%20Jump%20Shot%20(6%20PTS)%20(K.%20Leonard%201%20AST)", "R. Jackson 11' driving floating Jump Shot (6 PTS) (K. Leonard 1 AST)")</f>
        <v>R. Jackson 11' driving floating Jump Shot (6 PTS) (K. Leonard 1 AST)</v>
      </c>
      <c r="L745" s="2" t="str">
        <f>HYPERLINK("https://www.nba.com/game/...-vs-...-0022200223/play-by-play?watchFullGame=true", "LAC vs DET - Q2 08:00.00")</f>
        <v>LAC vs DET - Q2 08:00.00</v>
      </c>
      <c r="M745">
        <v>11.15</v>
      </c>
      <c r="N745">
        <v>83.36</v>
      </c>
      <c r="O745">
        <v>41.91</v>
      </c>
      <c r="P745">
        <v>-40</v>
      </c>
      <c r="Q745">
        <v>104</v>
      </c>
      <c r="R745">
        <v>83</v>
      </c>
      <c r="S745">
        <v>41</v>
      </c>
      <c r="T745" t="s">
        <v>58</v>
      </c>
    </row>
    <row r="746" spans="1:20" x14ac:dyDescent="0.25">
      <c r="A746">
        <v>22201229</v>
      </c>
      <c r="B746" t="s">
        <v>4</v>
      </c>
      <c r="C746" t="s">
        <v>9</v>
      </c>
      <c r="D746">
        <v>28</v>
      </c>
      <c r="E746">
        <v>34</v>
      </c>
      <c r="F746">
        <v>6</v>
      </c>
      <c r="G746">
        <v>2</v>
      </c>
      <c r="H746" s="1">
        <v>5.7638888888888887E-3</v>
      </c>
      <c r="I746">
        <v>2022</v>
      </c>
      <c r="J746" t="s">
        <v>59</v>
      </c>
      <c r="K746" s="2" t="str">
        <f>HYPERLINK("https://www.nba.com/stats/events?CFID=&amp;CFPARAMS=&amp;GameEventID=211&amp;GameID=0022201229&amp;Season=2022-23&amp;flag=1&amp;title=N.%20Powell%2012'%20driving%20floating%20Jump%20Shot%20(6%20PTS)%20(K.%20Leonard%202%20AST)", "N. Powell 12' driving floating Jump Shot (6 PTS) (K. Leonard 2 AST)")</f>
        <v>N. Powell 12' driving floating Jump Shot (6 PTS) (K. Leonard 2 AST)</v>
      </c>
      <c r="L746" s="2" t="str">
        <f>HYPERLINK("https://www.nba.com/game/...-vs-...-0022201229/play-by-play?watchFullGame=true", "LAC vs PHX - Q2 08:18.00")</f>
        <v>LAC vs PHX - Q2 08:18.00</v>
      </c>
      <c r="M746">
        <v>12.26</v>
      </c>
      <c r="N746">
        <v>83.26</v>
      </c>
      <c r="O746">
        <v>37.25</v>
      </c>
      <c r="P746">
        <v>-64</v>
      </c>
      <c r="Q746">
        <v>105</v>
      </c>
      <c r="R746">
        <v>83</v>
      </c>
      <c r="S746">
        <v>37</v>
      </c>
      <c r="T746" t="s">
        <v>58</v>
      </c>
    </row>
    <row r="747" spans="1:20" x14ac:dyDescent="0.25">
      <c r="A747">
        <v>42000176</v>
      </c>
      <c r="B747" t="s">
        <v>4</v>
      </c>
      <c r="C747" t="s">
        <v>9</v>
      </c>
      <c r="D747">
        <v>5</v>
      </c>
      <c r="E747">
        <v>7</v>
      </c>
      <c r="F747">
        <v>2</v>
      </c>
      <c r="G747">
        <v>1</v>
      </c>
      <c r="H747" s="1">
        <v>6.1574074074074074E-3</v>
      </c>
      <c r="I747" t="s">
        <v>66</v>
      </c>
      <c r="J747" t="s">
        <v>59</v>
      </c>
      <c r="K747" s="2" t="str">
        <f>HYPERLINK("https://www.nba.com/stats/events?CFID=&amp;CFPARAMS=&amp;GameEventID=39&amp;GameID=0042000176&amp;Season=2020-21&amp;flag=1&amp;title=R.%20Jackson%2010'%20driving%20floating%20Jump%20Shot%20(2%20PTS)%20(K.%20Leonard%201%20AST)", "R. Jackson 10' driving floating Jump Shot (2 PTS) (K. Leonard 1 AST)")</f>
        <v>R. Jackson 10' driving floating Jump Shot (2 PTS) (K. Leonard 1 AST)</v>
      </c>
      <c r="L747" s="2" t="str">
        <f>HYPERLINK("https://www.nba.com/game/...-vs-...-0042000176/play-by-play?watchFullGame=true", "LAC vs DAL - Q1 08:52.00")</f>
        <v>LAC vs DAL - Q1 08:52.00</v>
      </c>
      <c r="M747">
        <v>10.93</v>
      </c>
      <c r="N747">
        <v>83.92</v>
      </c>
      <c r="O747">
        <v>59.38</v>
      </c>
      <c r="P747">
        <v>83</v>
      </c>
      <c r="Q747">
        <v>59</v>
      </c>
      <c r="R747">
        <v>83</v>
      </c>
      <c r="S747">
        <v>59</v>
      </c>
      <c r="T747" t="s">
        <v>58</v>
      </c>
    </row>
    <row r="748" spans="1:20" x14ac:dyDescent="0.25">
      <c r="A748">
        <v>22300568</v>
      </c>
      <c r="B748" t="s">
        <v>4</v>
      </c>
      <c r="C748" t="s">
        <v>9</v>
      </c>
      <c r="D748">
        <v>9</v>
      </c>
      <c r="E748">
        <v>2</v>
      </c>
      <c r="F748">
        <v>7</v>
      </c>
      <c r="G748">
        <v>1</v>
      </c>
      <c r="H748" s="1">
        <v>6.9212962962962961E-3</v>
      </c>
      <c r="I748">
        <v>2023</v>
      </c>
      <c r="J748" t="s">
        <v>59</v>
      </c>
      <c r="K748" s="2" t="str">
        <f>HYPERLINK("https://www.nba.com/stats/events?CFID=&amp;CFPARAMS=&amp;GameEventID=23&amp;GameID=0022300568&amp;Season=2023-24&amp;flag=1&amp;title=T.%20Mann%2014'%20pullup%20Jump%20Shot%20(4%20PTS)%20(K.%20Leonard%202%20AST)", "T. Mann 14' pullup Jump Shot (4 PTS) (K. Leonard 2 AST)")</f>
        <v>T. Mann 14' pullup Jump Shot (4 PTS) (K. Leonard 2 AST)</v>
      </c>
      <c r="L748" s="2" t="str">
        <f>HYPERLINK("https://www.nba.com/game/...-vs-...-0022300568/play-by-play?watchFullGame=true", "LAC vs OKC - Q1 09:58.00")</f>
        <v>LAC vs OKC - Q1 09:58.00</v>
      </c>
      <c r="M748">
        <v>14.38</v>
      </c>
      <c r="N748">
        <v>83.1</v>
      </c>
      <c r="O748">
        <v>30.64</v>
      </c>
      <c r="P748">
        <v>-97</v>
      </c>
      <c r="Q748">
        <v>106</v>
      </c>
      <c r="R748">
        <v>83</v>
      </c>
      <c r="S748">
        <v>30</v>
      </c>
      <c r="T748" t="s">
        <v>58</v>
      </c>
    </row>
    <row r="749" spans="1:20" x14ac:dyDescent="0.25">
      <c r="A749">
        <v>22000966</v>
      </c>
      <c r="B749" t="s">
        <v>10</v>
      </c>
      <c r="C749" t="s">
        <v>9</v>
      </c>
      <c r="D749">
        <v>5</v>
      </c>
      <c r="E749">
        <v>0</v>
      </c>
      <c r="F749">
        <v>5</v>
      </c>
      <c r="G749">
        <v>1</v>
      </c>
      <c r="H749" s="1">
        <v>7.7546296296296295E-3</v>
      </c>
      <c r="I749">
        <v>2020</v>
      </c>
      <c r="J749" t="s">
        <v>59</v>
      </c>
      <c r="K749" s="2" t="str">
        <f>HYPERLINK("https://www.nba.com/stats/events?CFID=&amp;CFPARAMS=&amp;GameEventID=11&amp;GameID=0022000966&amp;Season=2020-21&amp;flag=1&amp;title=M.%20Morris%20Sr.%2024'%203PT%20%20(3%20PTS)%20(K.%20Leonard%201%20AST)", "M. Morris Sr. 24' 3PT  (3 PTS) (K. Leonard 1 AST)")</f>
        <v>M. Morris Sr. 24' 3PT  (3 PTS) (K. Leonard 1 AST)</v>
      </c>
      <c r="L749" s="2" t="str">
        <f>HYPERLINK("https://www.nba.com/game/...-vs-...-0022000966/play-by-play?watchFullGame=true", "LAC vs DEN - Q1 11:10.00")</f>
        <v>LAC vs DEN - Q1 11:10.00</v>
      </c>
      <c r="M749">
        <v>24.52</v>
      </c>
      <c r="N749">
        <v>83.66</v>
      </c>
      <c r="O749">
        <v>94.68</v>
      </c>
      <c r="P749">
        <v>223</v>
      </c>
      <c r="Q749">
        <v>101</v>
      </c>
      <c r="R749">
        <v>83</v>
      </c>
      <c r="S749">
        <v>94</v>
      </c>
      <c r="T749" t="s">
        <v>58</v>
      </c>
    </row>
    <row r="750" spans="1:20" x14ac:dyDescent="0.25">
      <c r="A750">
        <v>22200389</v>
      </c>
      <c r="B750" t="s">
        <v>10</v>
      </c>
      <c r="C750" t="s">
        <v>9</v>
      </c>
      <c r="D750">
        <v>8</v>
      </c>
      <c r="E750">
        <v>13</v>
      </c>
      <c r="F750">
        <v>5</v>
      </c>
      <c r="G750">
        <v>1</v>
      </c>
      <c r="H750" s="1">
        <v>5.3125000000000004E-3</v>
      </c>
      <c r="I750">
        <v>2022</v>
      </c>
      <c r="J750" t="s">
        <v>59</v>
      </c>
      <c r="K750" s="2" t="str">
        <f>HYPERLINK("https://www.nba.com/stats/events?CFID=&amp;CFPARAMS=&amp;GameEventID=42&amp;GameID=0022200389&amp;Season=2022-23&amp;flag=1&amp;title=M.%20Morris%20Sr.%2024'%203PT%20%20(3%20PTS)%20(K.%20Leonard%202%20AST)", "M. Morris Sr. 24' 3PT  (3 PTS) (K. Leonard 2 AST)")</f>
        <v>M. Morris Sr. 24' 3PT  (3 PTS) (K. Leonard 2 AST)</v>
      </c>
      <c r="L750" s="2" t="str">
        <f>HYPERLINK("https://www.nba.com/game/...-vs-...-0022200389/play-by-play?watchFullGame=true", "LAC vs WAS - Q1 07:39.00")</f>
        <v>LAC vs WAS - Q1 07:39.00</v>
      </c>
      <c r="M750">
        <v>24.77</v>
      </c>
      <c r="N750">
        <v>83.79</v>
      </c>
      <c r="O750">
        <v>95.34</v>
      </c>
      <c r="P750">
        <v>227</v>
      </c>
      <c r="Q750">
        <v>100</v>
      </c>
      <c r="R750">
        <v>83</v>
      </c>
      <c r="S750">
        <v>95</v>
      </c>
      <c r="T750" t="s">
        <v>58</v>
      </c>
    </row>
    <row r="751" spans="1:20" x14ac:dyDescent="0.25">
      <c r="A751">
        <v>22301052</v>
      </c>
      <c r="B751" t="s">
        <v>4</v>
      </c>
      <c r="C751" t="s">
        <v>9</v>
      </c>
      <c r="D751">
        <v>35</v>
      </c>
      <c r="E751">
        <v>42</v>
      </c>
      <c r="F751">
        <v>7</v>
      </c>
      <c r="G751">
        <v>2</v>
      </c>
      <c r="H751" s="1">
        <v>3.7037037037037038E-3</v>
      </c>
      <c r="I751">
        <v>2023</v>
      </c>
      <c r="J751" t="s">
        <v>59</v>
      </c>
      <c r="K751" s="2" t="str">
        <f>HYPERLINK("https://www.nba.com/stats/events?CFID=&amp;CFPARAMS=&amp;GameEventID=242&amp;GameID=0022301052&amp;Season=2023-24&amp;flag=1&amp;title=T.%20Mann%2012'%20pullup%20Jump%20Shot%20(8%20PTS)%20(K.%20Leonard%202%20AST)", "T. Mann 12' pullup Jump Shot (8 PTS) (K. Leonard 2 AST)")</f>
        <v>T. Mann 12' pullup Jump Shot (8 PTS) (K. Leonard 2 AST)</v>
      </c>
      <c r="L751" s="2" t="str">
        <f>HYPERLINK("https://www.nba.com/game/...-vs-...-0022301052/play-by-play?watchFullGame=true", "LAC vs PHI - Q2 05:20.00")</f>
        <v>LAC vs PHI - Q2 05:20.00</v>
      </c>
      <c r="M751">
        <v>12.78</v>
      </c>
      <c r="N751">
        <v>83.49</v>
      </c>
      <c r="O751">
        <v>65.2</v>
      </c>
      <c r="P751">
        <v>76</v>
      </c>
      <c r="Q751">
        <v>103</v>
      </c>
      <c r="R751">
        <v>83</v>
      </c>
      <c r="S751">
        <v>65</v>
      </c>
      <c r="T751" t="s">
        <v>58</v>
      </c>
    </row>
    <row r="752" spans="1:20" x14ac:dyDescent="0.25">
      <c r="A752">
        <v>22000077</v>
      </c>
      <c r="B752" t="s">
        <v>4</v>
      </c>
      <c r="C752" t="s">
        <v>9</v>
      </c>
      <c r="D752">
        <v>79</v>
      </c>
      <c r="E752">
        <v>91</v>
      </c>
      <c r="F752">
        <v>12</v>
      </c>
      <c r="G752">
        <v>4</v>
      </c>
      <c r="H752" s="1">
        <v>5.1504629629629626E-3</v>
      </c>
      <c r="I752">
        <v>2020</v>
      </c>
      <c r="J752" t="s">
        <v>59</v>
      </c>
      <c r="K752" s="2" t="str">
        <f>HYPERLINK("https://www.nba.com/stats/events?CFID=&amp;CFPARAMS=&amp;GameEventID=547&amp;GameID=0022000077&amp;Season=2020-21&amp;flag=1&amp;title=Ibaka%2012'%20floating%20Jump%20Shot%20(11%20PTS)%20(K.%20Leonard%207%20AST)", "S. Ibaka 12' floating Jump Shot (11 PTS) (K. Leonard 7 AST)")</f>
        <v>S. Ibaka 12' floating Jump Shot (11 PTS) (K. Leonard 7 AST)</v>
      </c>
      <c r="L752" s="2" t="str">
        <f>HYPERLINK("https://www.nba.com/game/...-vs-...-0022000077/play-by-play?watchFullGame=true", "LAC vs UTA - Q4 07:25.00")</f>
        <v>LAC vs UTA - Q4 07:25.00</v>
      </c>
      <c r="M752">
        <v>12.12</v>
      </c>
      <c r="N752">
        <v>84.97</v>
      </c>
      <c r="O752">
        <v>66.489999999999995</v>
      </c>
      <c r="P752">
        <v>82</v>
      </c>
      <c r="Q752">
        <v>89</v>
      </c>
      <c r="R752">
        <v>84</v>
      </c>
      <c r="S752">
        <v>66</v>
      </c>
      <c r="T752" t="s">
        <v>58</v>
      </c>
    </row>
    <row r="753" spans="1:20" x14ac:dyDescent="0.25">
      <c r="A753">
        <v>22200604</v>
      </c>
      <c r="B753" t="s">
        <v>10</v>
      </c>
      <c r="C753" t="s">
        <v>9</v>
      </c>
      <c r="D753">
        <v>52</v>
      </c>
      <c r="E753">
        <v>62</v>
      </c>
      <c r="F753">
        <v>10</v>
      </c>
      <c r="G753">
        <v>2</v>
      </c>
      <c r="H753" s="1">
        <v>2.9398148148148149E-4</v>
      </c>
      <c r="I753">
        <v>2022</v>
      </c>
      <c r="J753" t="s">
        <v>59</v>
      </c>
      <c r="K753" s="2" t="str">
        <f>HYPERLINK("https://www.nba.com/stats/events?CFID=&amp;CFPARAMS=&amp;GameEventID=319&amp;GameID=0022200604&amp;Season=2022-23&amp;flag=1&amp;title=N.%20Powell%2025'%203PT%20%20(10%20PTS)%20(K.%20Leonard%203%20AST)", "N. Powell 25' 3PT  (10 PTS) (K. Leonard 3 AST)")</f>
        <v>N. Powell 25' 3PT  (10 PTS) (K. Leonard 3 AST)</v>
      </c>
      <c r="L753" s="2" t="str">
        <f>HYPERLINK("https://www.nba.com/game/...-vs-...-0022200604/play-by-play?watchFullGame=true", "LAC vs ATL - Q2 00:25.40")</f>
        <v>LAC vs ATL - Q2 00:25.40</v>
      </c>
      <c r="M753">
        <v>25.28</v>
      </c>
      <c r="N753">
        <v>84.28</v>
      </c>
      <c r="O753">
        <v>96.81</v>
      </c>
      <c r="P753">
        <v>234</v>
      </c>
      <c r="Q753">
        <v>95</v>
      </c>
      <c r="R753">
        <v>84</v>
      </c>
      <c r="S753">
        <v>96</v>
      </c>
      <c r="T753" t="s">
        <v>58</v>
      </c>
    </row>
    <row r="754" spans="1:20" x14ac:dyDescent="0.25">
      <c r="A754">
        <v>22000501</v>
      </c>
      <c r="B754" t="s">
        <v>10</v>
      </c>
      <c r="C754" t="s">
        <v>9</v>
      </c>
      <c r="D754">
        <v>23</v>
      </c>
      <c r="E754">
        <v>16</v>
      </c>
      <c r="F754">
        <v>7</v>
      </c>
      <c r="G754">
        <v>1</v>
      </c>
      <c r="H754" s="1">
        <v>1.724537037037037E-3</v>
      </c>
      <c r="I754">
        <v>2020</v>
      </c>
      <c r="J754" t="s">
        <v>59</v>
      </c>
      <c r="K754" s="2" t="str">
        <f>HYPERLINK("https://www.nba.com/stats/events?CFID=&amp;CFPARAMS=&amp;GameEventID=121&amp;GameID=0022000501&amp;Season=2020-21&amp;flag=1&amp;title=L.%20Williams%2024'%203PT%20pullup%20(5%20PTS)%20(K.%20Leonard%203%20AST)", "L. Williams 24' 3PT pullup (5 PTS) (K. Leonard 3 AST)")</f>
        <v>L. Williams 24' 3PT pullup (5 PTS) (K. Leonard 3 AST)</v>
      </c>
      <c r="L754" s="2" t="str">
        <f>HYPERLINK("https://www.nba.com/game/...-vs-...-0022000501/play-by-play?watchFullGame=true", "LAC vs MEM - Q1 02:29.00")</f>
        <v>LAC vs MEM - Q1 02:29.00</v>
      </c>
      <c r="M754">
        <v>24.09</v>
      </c>
      <c r="N754">
        <v>84.18</v>
      </c>
      <c r="O754">
        <v>94.19</v>
      </c>
      <c r="P754">
        <v>221</v>
      </c>
      <c r="Q754">
        <v>96</v>
      </c>
      <c r="R754">
        <v>84</v>
      </c>
      <c r="S754">
        <v>94</v>
      </c>
      <c r="T754" t="s">
        <v>58</v>
      </c>
    </row>
    <row r="755" spans="1:20" x14ac:dyDescent="0.25">
      <c r="A755">
        <v>22400697</v>
      </c>
      <c r="B755" t="s">
        <v>4</v>
      </c>
      <c r="C755" t="s">
        <v>9</v>
      </c>
      <c r="D755">
        <v>38</v>
      </c>
      <c r="E755">
        <v>41</v>
      </c>
      <c r="F755">
        <v>3</v>
      </c>
      <c r="G755">
        <v>2</v>
      </c>
      <c r="H755" s="1">
        <v>6.7361111111111111E-3</v>
      </c>
      <c r="I755">
        <v>2024</v>
      </c>
      <c r="J755" t="s">
        <v>59</v>
      </c>
      <c r="K755" s="2" t="str">
        <f>HYPERLINK("https://www.nba.com/stats/events?CFID=&amp;CFPARAMS=&amp;GameEventID=176&amp;GameID=0022400697&amp;Season=2024-25&amp;flag=1&amp;title=K.%20Porter%20Jr.%209'%20driving%20floating%20Jump%20Shot%20(6%20PTS)%20(K.%20Leonard%203%20AST)", "K. Porter Jr. 9' driving floating Jump Shot (6 PTS) (K. Leonard 3 AST)")</f>
        <v>K. Porter Jr. 9' driving floating Jump Shot (6 PTS) (K. Leonard 3 AST)</v>
      </c>
      <c r="L755" s="2" t="str">
        <f>HYPERLINK("https://www.nba.com/game/...-vs-...-0022400697/play-by-play?watchFullGame=true", "LAC vs TOR - Q2 09:42.00")</f>
        <v>LAC vs TOR - Q2 09:42.00</v>
      </c>
      <c r="M755">
        <v>9.68</v>
      </c>
      <c r="N755">
        <v>84.31</v>
      </c>
      <c r="O755">
        <v>46.32</v>
      </c>
      <c r="P755">
        <v>-18</v>
      </c>
      <c r="Q755">
        <v>95</v>
      </c>
      <c r="R755">
        <v>84</v>
      </c>
      <c r="S755">
        <v>46</v>
      </c>
      <c r="T755" t="s">
        <v>58</v>
      </c>
    </row>
    <row r="756" spans="1:20" x14ac:dyDescent="0.25">
      <c r="A756">
        <v>22000966</v>
      </c>
      <c r="B756" t="s">
        <v>10</v>
      </c>
      <c r="C756" t="s">
        <v>9</v>
      </c>
      <c r="D756">
        <v>18</v>
      </c>
      <c r="E756">
        <v>7</v>
      </c>
      <c r="F756">
        <v>11</v>
      </c>
      <c r="G756">
        <v>1</v>
      </c>
      <c r="H756" s="1">
        <v>5.4282407407407404E-3</v>
      </c>
      <c r="I756">
        <v>2020</v>
      </c>
      <c r="J756" t="s">
        <v>59</v>
      </c>
      <c r="K756" s="2" t="str">
        <f>HYPERLINK("https://www.nba.com/stats/events?CFID=&amp;CFPARAMS=&amp;GameEventID=37&amp;GameID=0022000966&amp;Season=2020-21&amp;flag=1&amp;title=R.%20Jackson%2025'%203PT%20%20(3%20PTS)%20(K.%20Leonard%203%20AST)", "R. Jackson 25' 3PT  (3 PTS) (K. Leonard 3 AST)")</f>
        <v>R. Jackson 25' 3PT  (3 PTS) (K. Leonard 3 AST)</v>
      </c>
      <c r="L756" s="2" t="str">
        <f>HYPERLINK("https://www.nba.com/game/...-vs-...-0022000966/play-by-play?watchFullGame=true", "LAC vs DEN - Q1 07:49.00")</f>
        <v>LAC vs DEN - Q1 07:49.00</v>
      </c>
      <c r="M756">
        <v>25.16</v>
      </c>
      <c r="N756">
        <v>84.18</v>
      </c>
      <c r="O756">
        <v>3.5</v>
      </c>
      <c r="P756">
        <v>-232</v>
      </c>
      <c r="Q756">
        <v>96</v>
      </c>
      <c r="R756">
        <v>84</v>
      </c>
      <c r="S756">
        <v>3</v>
      </c>
      <c r="T756" t="s">
        <v>58</v>
      </c>
    </row>
    <row r="757" spans="1:20" x14ac:dyDescent="0.25">
      <c r="A757">
        <v>21900145</v>
      </c>
      <c r="B757" t="s">
        <v>4</v>
      </c>
      <c r="C757" t="s">
        <v>61</v>
      </c>
      <c r="D757">
        <v>49</v>
      </c>
      <c r="E757">
        <v>46</v>
      </c>
      <c r="F757">
        <v>3</v>
      </c>
      <c r="G757">
        <v>2</v>
      </c>
      <c r="H757" s="1">
        <v>9.3750000000000002E-5</v>
      </c>
      <c r="I757">
        <v>2019</v>
      </c>
      <c r="J757" t="s">
        <v>59</v>
      </c>
      <c r="K757" s="2" t="str">
        <f>HYPERLINK("https://www.nba.com/stats/events?CFID=&amp;CFPARAMS=&amp;GameEventID=322&amp;GameID=0021900145&amp;Season=2019-20&amp;flag=1&amp;title=[LAC]%20Beverley%20jumpshot:%20Made%20(4%20PTS)%20assist:%20Leonard%20(5%20AST)", "[LAC] Beverley jumpshot: Made (4 PTS) assist: Leonard (5 AST)")</f>
        <v>[LAC] Beverley jumpshot: Made (4 PTS) assist: Leonard (5 AST)</v>
      </c>
      <c r="L757" s="2" t="str">
        <f>HYPERLINK("https://www.nba.com/game/...-vs-...-0021900145/play-by-play?watchFullGame=true", "LAC vs TOR - Q2 00:08.10")</f>
        <v>LAC vs TOR - Q2 00:08.10</v>
      </c>
      <c r="M757">
        <v>8.8800000000000008</v>
      </c>
      <c r="N757">
        <v>85.99</v>
      </c>
      <c r="O757">
        <v>55.32</v>
      </c>
      <c r="P757">
        <v>27</v>
      </c>
      <c r="Q757">
        <v>79</v>
      </c>
      <c r="R757">
        <v>85</v>
      </c>
      <c r="S757">
        <v>55</v>
      </c>
      <c r="T757" t="s">
        <v>58</v>
      </c>
    </row>
    <row r="758" spans="1:20" x14ac:dyDescent="0.25">
      <c r="A758">
        <v>22000224</v>
      </c>
      <c r="B758" t="s">
        <v>4</v>
      </c>
      <c r="C758" t="s">
        <v>9</v>
      </c>
      <c r="D758">
        <v>55</v>
      </c>
      <c r="E758">
        <v>53</v>
      </c>
      <c r="F758">
        <v>2</v>
      </c>
      <c r="G758">
        <v>2</v>
      </c>
      <c r="H758" s="1">
        <v>1.4814814814814814E-3</v>
      </c>
      <c r="I758">
        <v>2020</v>
      </c>
      <c r="J758" t="s">
        <v>59</v>
      </c>
      <c r="K758" s="2" t="str">
        <f>HYPERLINK("https://www.nba.com/stats/events?CFID=&amp;CFPARAMS=&amp;GameEventID=285&amp;GameID=0022000224&amp;Season=2020-21&amp;flag=1&amp;title=L.%20Kennard%208'%20floating%20Jump%20Shot%20(7%20PTS)%20(K.%20Leonard%202%20AST)", "L. Kennard 8' floating Jump Shot (7 PTS) (K. Leonard 2 AST)")</f>
        <v>L. Kennard 8' floating Jump Shot (7 PTS) (K. Leonard 2 AST)</v>
      </c>
      <c r="L758" s="2" t="str">
        <f>HYPERLINK("https://www.nba.com/game/...-vs-...-0022000224/play-by-play?watchFullGame=true", "LAC vs SAC - Q2 02:08.00")</f>
        <v>LAC vs SAC - Q2 02:08.00</v>
      </c>
      <c r="M758">
        <v>8.36</v>
      </c>
      <c r="N758">
        <v>85.63</v>
      </c>
      <c r="O758">
        <v>52.52</v>
      </c>
      <c r="P758">
        <v>13</v>
      </c>
      <c r="Q758">
        <v>83</v>
      </c>
      <c r="R758">
        <v>85</v>
      </c>
      <c r="S758">
        <v>52</v>
      </c>
      <c r="T758" t="s">
        <v>58</v>
      </c>
    </row>
    <row r="759" spans="1:20" x14ac:dyDescent="0.25">
      <c r="A759">
        <v>22200735</v>
      </c>
      <c r="B759" t="s">
        <v>4</v>
      </c>
      <c r="C759" t="s">
        <v>70</v>
      </c>
      <c r="D759">
        <v>2</v>
      </c>
      <c r="E759">
        <v>0</v>
      </c>
      <c r="F759">
        <v>2</v>
      </c>
      <c r="G759">
        <v>1</v>
      </c>
      <c r="H759" s="1">
        <v>8.1250000000000003E-3</v>
      </c>
      <c r="I759">
        <v>2022</v>
      </c>
      <c r="J759" t="s">
        <v>59</v>
      </c>
      <c r="K759" s="2" t="str">
        <f>HYPERLINK("https://www.nba.com/stats/events?CFID=&amp;CFPARAMS=&amp;GameEventID=7&amp;GameID=0022200735&amp;Season=2022-23&amp;flag=1&amp;title=I.%20Zubac%208'%20Hook%20(2%20PTS)%20(K.%20Leonard%201%20AST)", "I. Zubac 8' Hook (2 PTS) (K. Leonard 1 AST)")</f>
        <v>I. Zubac 8' Hook (2 PTS) (K. Leonard 1 AST)</v>
      </c>
      <c r="L759" s="2" t="str">
        <f>HYPERLINK("https://www.nba.com/game/...-vs-...-0022200735/play-by-play?watchFullGame=true", "LAC vs SAS - Q1 11:42.00")</f>
        <v>LAC vs SAS - Q1 11:42.00</v>
      </c>
      <c r="M759">
        <v>8.89</v>
      </c>
      <c r="N759">
        <v>85.99</v>
      </c>
      <c r="O759">
        <v>58.09</v>
      </c>
      <c r="P759">
        <v>40</v>
      </c>
      <c r="Q759">
        <v>79</v>
      </c>
      <c r="R759">
        <v>85</v>
      </c>
      <c r="S759">
        <v>58</v>
      </c>
      <c r="T759" t="s">
        <v>58</v>
      </c>
    </row>
    <row r="760" spans="1:20" x14ac:dyDescent="0.25">
      <c r="A760">
        <v>22400596</v>
      </c>
      <c r="B760" t="s">
        <v>4</v>
      </c>
      <c r="C760" t="s">
        <v>9</v>
      </c>
      <c r="D760">
        <v>11</v>
      </c>
      <c r="E760">
        <v>9</v>
      </c>
      <c r="F760">
        <v>2</v>
      </c>
      <c r="G760">
        <v>1</v>
      </c>
      <c r="H760" s="1">
        <v>5.9606481481481481E-3</v>
      </c>
      <c r="I760">
        <v>2024</v>
      </c>
      <c r="J760" t="s">
        <v>59</v>
      </c>
      <c r="K760" s="2" t="str">
        <f>HYPERLINK("https://www.nba.com/stats/events?CFID=&amp;CFPARAMS=&amp;GameEventID=33&amp;GameID=0022400596&amp;Season=2024-25&amp;flag=1&amp;title=I.%20Zubac%208'%20floating%20Jump%20Shot%20(2%20PTS)%20(K.%20Leonard%203%20AST)", "I. Zubac 8' floating Jump Shot (2 PTS) (K. Leonard 3 AST)")</f>
        <v>I. Zubac 8' floating Jump Shot (2 PTS) (K. Leonard 3 AST)</v>
      </c>
      <c r="L760" s="2" t="str">
        <f>HYPERLINK("https://www.nba.com/game/...-vs-...-0022400596/play-by-play?watchFullGame=true", "LAC vs LAL - Q1 08:35.00")</f>
        <v>LAC vs LAL - Q1 08:35.00</v>
      </c>
      <c r="M760">
        <v>8.19</v>
      </c>
      <c r="N760">
        <v>85.76</v>
      </c>
      <c r="O760">
        <v>51.72</v>
      </c>
      <c r="P760">
        <v>9</v>
      </c>
      <c r="Q760">
        <v>81</v>
      </c>
      <c r="R760">
        <v>85</v>
      </c>
      <c r="S760">
        <v>51</v>
      </c>
      <c r="T760" t="s">
        <v>58</v>
      </c>
    </row>
    <row r="761" spans="1:20" x14ac:dyDescent="0.25">
      <c r="A761">
        <v>22201196</v>
      </c>
      <c r="B761" t="s">
        <v>4</v>
      </c>
      <c r="C761" t="s">
        <v>9</v>
      </c>
      <c r="D761">
        <v>25</v>
      </c>
      <c r="E761">
        <v>18</v>
      </c>
      <c r="F761">
        <v>7</v>
      </c>
      <c r="G761">
        <v>1</v>
      </c>
      <c r="H761" s="1">
        <v>2.7430555555555554E-3</v>
      </c>
      <c r="I761">
        <v>2022</v>
      </c>
      <c r="J761" t="s">
        <v>59</v>
      </c>
      <c r="K761" s="2" t="str">
        <f>HYPERLINK("https://www.nba.com/stats/events?CFID=&amp;CFPARAMS=&amp;GameEventID=103&amp;GameID=0022201196&amp;Season=2022-23&amp;flag=1&amp;title=R.%20Westbrook%208'%20Jump%20Shot%20(10%20PTS)%20(K.%20Leonard%201%20AST)", "R. Westbrook 8' Jump Shot (10 PTS) (K. Leonard 1 AST)")</f>
        <v>R. Westbrook 8' Jump Shot (10 PTS) (K. Leonard 1 AST)</v>
      </c>
      <c r="L761" s="2" t="str">
        <f>HYPERLINK("https://www.nba.com/game/...-vs-...-0022201196/play-by-play?watchFullGame=true", "LAC vs LAL - Q1 03:57.00")</f>
        <v>LAC vs LAL - Q1 03:57.00</v>
      </c>
      <c r="M761">
        <v>8.43</v>
      </c>
      <c r="N761">
        <v>85.46</v>
      </c>
      <c r="O761">
        <v>48.77</v>
      </c>
      <c r="P761">
        <v>-6</v>
      </c>
      <c r="Q761">
        <v>84</v>
      </c>
      <c r="R761">
        <v>85</v>
      </c>
      <c r="S761">
        <v>48</v>
      </c>
      <c r="T761" t="s">
        <v>58</v>
      </c>
    </row>
    <row r="762" spans="1:20" x14ac:dyDescent="0.25">
      <c r="A762">
        <v>22200649</v>
      </c>
      <c r="B762" t="s">
        <v>4</v>
      </c>
      <c r="C762" t="s">
        <v>9</v>
      </c>
      <c r="D762">
        <v>17</v>
      </c>
      <c r="E762">
        <v>22</v>
      </c>
      <c r="F762">
        <v>5</v>
      </c>
      <c r="G762">
        <v>1</v>
      </c>
      <c r="H762" s="1">
        <v>2.8935185185185184E-3</v>
      </c>
      <c r="I762">
        <v>2022</v>
      </c>
      <c r="J762" t="s">
        <v>59</v>
      </c>
      <c r="K762" s="2" t="str">
        <f>HYPERLINK("https://www.nba.com/stats/events?CFID=&amp;CFPARAMS=&amp;GameEventID=87&amp;GameID=0022200649&amp;Season=2022-23&amp;flag=1&amp;title=T.%20Mann%208'%20driving%20floating%20Jump%20Shot%20(7%20PTS)%20(K.%20Leonard%202%20AST)", "T. Mann 8' driving floating Jump Shot (7 PTS) (K. Leonard 2 AST)")</f>
        <v>T. Mann 8' driving floating Jump Shot (7 PTS) (K. Leonard 2 AST)</v>
      </c>
      <c r="L762" s="2" t="str">
        <f>HYPERLINK("https://www.nba.com/game/...-vs-...-0022200649/play-by-play?watchFullGame=true", "LAC vs HOU - Q1 04:10.00")</f>
        <v>LAC vs HOU - Q1 04:10.00</v>
      </c>
      <c r="M762">
        <v>8.42</v>
      </c>
      <c r="N762">
        <v>85.59</v>
      </c>
      <c r="O762">
        <v>52.94</v>
      </c>
      <c r="P762">
        <v>15</v>
      </c>
      <c r="Q762">
        <v>83</v>
      </c>
      <c r="R762">
        <v>85</v>
      </c>
      <c r="S762">
        <v>52</v>
      </c>
      <c r="T762" t="s">
        <v>58</v>
      </c>
    </row>
    <row r="763" spans="1:20" x14ac:dyDescent="0.25">
      <c r="A763">
        <v>21901271</v>
      </c>
      <c r="B763" t="s">
        <v>10</v>
      </c>
      <c r="C763" t="s">
        <v>61</v>
      </c>
      <c r="D763">
        <v>123</v>
      </c>
      <c r="E763">
        <v>108</v>
      </c>
      <c r="F763">
        <v>15</v>
      </c>
      <c r="G763">
        <v>4</v>
      </c>
      <c r="H763" s="1">
        <v>8.6805555555555551E-4</v>
      </c>
      <c r="I763">
        <v>2019</v>
      </c>
      <c r="J763" t="s">
        <v>59</v>
      </c>
      <c r="K763" s="2" t="str">
        <f>HYPERLINK("https://www.nba.com/stats/events?CFID=&amp;CFPARAMS=&amp;GameEventID=619&amp;GameID=0021901271&amp;Season=2019-20&amp;flag=1&amp;title=M.%20Morris%20Sr.%2026'%203PT%20%20(13%20PTS)%20(K.%20Leonard%205%20AST)", "M. Morris Sr. 26' 3PT  (13 PTS) (K. Leonard 5 AST)")</f>
        <v>M. Morris Sr. 26' 3PT  (13 PTS) (K. Leonard 5 AST)</v>
      </c>
      <c r="L763" s="2" t="str">
        <f>HYPERLINK("https://www.nba.com/game/...-vs-...-0021901271/play-by-play?watchFullGame=true", "LAC vs DAL - Q4 01:15.00")</f>
        <v>LAC vs DAL - Q4 01:15.00</v>
      </c>
      <c r="M763">
        <v>25.57</v>
      </c>
      <c r="N763">
        <v>85.23</v>
      </c>
      <c r="O763">
        <v>2.27</v>
      </c>
      <c r="P763">
        <v>-239</v>
      </c>
      <c r="Q763">
        <v>86</v>
      </c>
      <c r="R763">
        <v>85</v>
      </c>
      <c r="S763">
        <v>2</v>
      </c>
      <c r="T763" t="s">
        <v>58</v>
      </c>
    </row>
    <row r="764" spans="1:20" x14ac:dyDescent="0.25">
      <c r="A764">
        <v>22000788</v>
      </c>
      <c r="B764" t="s">
        <v>10</v>
      </c>
      <c r="C764" t="s">
        <v>9</v>
      </c>
      <c r="D764">
        <v>59</v>
      </c>
      <c r="E764">
        <v>63</v>
      </c>
      <c r="F764">
        <v>4</v>
      </c>
      <c r="G764">
        <v>3</v>
      </c>
      <c r="H764" s="1">
        <v>6.8865740740740745E-3</v>
      </c>
      <c r="I764">
        <v>2020</v>
      </c>
      <c r="J764" t="s">
        <v>59</v>
      </c>
      <c r="K764" s="2" t="str">
        <f>HYPERLINK("https://www.nba.com/stats/events?CFID=&amp;CFPARAMS=&amp;GameEventID=303&amp;GameID=0022000788&amp;Season=2020-21&amp;flag=1&amp;title=P.%20George%2024'%203PT%20%20(21%20PTS)%20(K.%20Leonard%202%20AST)", "P. George 24' 3PT  (21 PTS) (K. Leonard 2 AST)")</f>
        <v>P. George 24' 3PT  (21 PTS) (K. Leonard 2 AST)</v>
      </c>
      <c r="L764" s="2" t="str">
        <f>HYPERLINK("https://www.nba.com/game/...-vs-...-0022000788/play-by-play?watchFullGame=true", "LAC vs PHX - Q3 09:55.00")</f>
        <v>LAC vs PHX - Q3 09:55.00</v>
      </c>
      <c r="M764">
        <v>24.63</v>
      </c>
      <c r="N764">
        <v>85.63</v>
      </c>
      <c r="O764">
        <v>96.39</v>
      </c>
      <c r="P764">
        <v>232</v>
      </c>
      <c r="Q764">
        <v>83</v>
      </c>
      <c r="R764">
        <v>85</v>
      </c>
      <c r="S764">
        <v>96</v>
      </c>
      <c r="T764" t="s">
        <v>58</v>
      </c>
    </row>
    <row r="765" spans="1:20" x14ac:dyDescent="0.25">
      <c r="A765">
        <v>22000251</v>
      </c>
      <c r="B765" t="s">
        <v>10</v>
      </c>
      <c r="C765" t="s">
        <v>9</v>
      </c>
      <c r="D765">
        <v>46</v>
      </c>
      <c r="E765">
        <v>35</v>
      </c>
      <c r="F765">
        <v>11</v>
      </c>
      <c r="G765">
        <v>2</v>
      </c>
      <c r="H765" s="1">
        <v>2.6967592592592594E-3</v>
      </c>
      <c r="I765">
        <v>2020</v>
      </c>
      <c r="J765" t="s">
        <v>59</v>
      </c>
      <c r="K765" s="2" t="str">
        <f>HYPERLINK("https://www.nba.com/stats/events?CFID=&amp;CFPARAMS=&amp;GameEventID=260&amp;GameID=0022000251&amp;Season=2020-21&amp;flag=1&amp;title=P.%20Beverley%2024'%203PT%20%20(5%20PTS)%20(K.%20Leonard%203%20AST)", "P. Beverley 24' 3PT  (5 PTS) (K. Leonard 3 AST)")</f>
        <v>P. Beverley 24' 3PT  (5 PTS) (K. Leonard 3 AST)</v>
      </c>
      <c r="L765" s="2" t="str">
        <f>HYPERLINK("https://www.nba.com/game/...-vs-...-0022000251/play-by-play?watchFullGame=true", "LAC vs OKC - Q2 03:53.00")</f>
        <v>LAC vs OKC - Q2 03:53.00</v>
      </c>
      <c r="M765">
        <v>24.5</v>
      </c>
      <c r="N765">
        <v>85.63</v>
      </c>
      <c r="O765">
        <v>96.15</v>
      </c>
      <c r="P765">
        <v>231</v>
      </c>
      <c r="Q765">
        <v>83</v>
      </c>
      <c r="R765">
        <v>85</v>
      </c>
      <c r="S765">
        <v>96</v>
      </c>
      <c r="T765" t="s">
        <v>58</v>
      </c>
    </row>
    <row r="766" spans="1:20" x14ac:dyDescent="0.25">
      <c r="A766">
        <v>22400783</v>
      </c>
      <c r="B766" t="s">
        <v>4</v>
      </c>
      <c r="C766" t="s">
        <v>9</v>
      </c>
      <c r="D766">
        <v>85</v>
      </c>
      <c r="E766">
        <v>70</v>
      </c>
      <c r="F766">
        <v>15</v>
      </c>
      <c r="G766">
        <v>3</v>
      </c>
      <c r="H766" s="1">
        <v>5.37037037037037E-3</v>
      </c>
      <c r="I766">
        <v>2024</v>
      </c>
      <c r="J766" t="s">
        <v>59</v>
      </c>
      <c r="K766" s="2" t="str">
        <f>HYPERLINK("https://www.nba.com/stats/events?CFID=&amp;CFPARAMS=&amp;GameEventID=397&amp;GameID=0022400783&amp;Season=2024-25&amp;flag=1&amp;title=N.%20Powell%2010'%20driving%20floating%20Jump%20Shot%20(12%20PTS)%20(K.%20Leonard%203%20AST)", "N. Powell 10' driving floating Jump Shot (12 PTS) (K. Leonard 3 AST)")</f>
        <v>N. Powell 10' driving floating Jump Shot (12 PTS) (K. Leonard 3 AST)</v>
      </c>
      <c r="L766" s="2" t="str">
        <f>HYPERLINK("https://www.nba.com/game/...-vs-...-0022400783/play-by-play?watchFullGame=true", "LAC vs MEM - Q3 07:44.00")</f>
        <v>LAC vs MEM - Q3 07:44.00</v>
      </c>
      <c r="M766">
        <v>10.66</v>
      </c>
      <c r="N766">
        <v>85.15</v>
      </c>
      <c r="O766">
        <v>62.31</v>
      </c>
      <c r="P766">
        <v>62</v>
      </c>
      <c r="Q766">
        <v>87</v>
      </c>
      <c r="R766">
        <v>85</v>
      </c>
      <c r="S766">
        <v>62</v>
      </c>
      <c r="T766" t="s">
        <v>58</v>
      </c>
    </row>
    <row r="767" spans="1:20" x14ac:dyDescent="0.25">
      <c r="A767">
        <v>22300099</v>
      </c>
      <c r="B767" t="s">
        <v>4</v>
      </c>
      <c r="C767" t="s">
        <v>9</v>
      </c>
      <c r="D767">
        <v>51</v>
      </c>
      <c r="E767">
        <v>33</v>
      </c>
      <c r="F767">
        <v>18</v>
      </c>
      <c r="G767">
        <v>2</v>
      </c>
      <c r="H767" s="1">
        <v>1.9444444444444444E-3</v>
      </c>
      <c r="I767">
        <v>2023</v>
      </c>
      <c r="J767" t="s">
        <v>59</v>
      </c>
      <c r="K767" s="2" t="str">
        <f>HYPERLINK("https://www.nba.com/stats/events?CFID=&amp;CFPARAMS=&amp;GameEventID=308&amp;GameID=0022300099&amp;Season=2023-24&amp;flag=1&amp;title=B.%20Hyland%2010'%20floating%20Jump%20Shot%20(5%20PTS)%20(K.%20Leonard%204%20AST)", "B. Hyland 10' floating Jump Shot (5 PTS) (K. Leonard 4 AST)")</f>
        <v>B. Hyland 10' floating Jump Shot (5 PTS) (K. Leonard 4 AST)</v>
      </c>
      <c r="L767" s="2" t="str">
        <f>HYPERLINK("https://www.nba.com/game/...-vs-...-0022300099/play-by-play?watchFullGame=true", "LAC vs SAS - Q2 02:48.00")</f>
        <v>LAC vs SAS - Q2 02:48.00</v>
      </c>
      <c r="M767">
        <v>10.57</v>
      </c>
      <c r="N767">
        <v>85.86</v>
      </c>
      <c r="O767">
        <v>63.73</v>
      </c>
      <c r="P767">
        <v>69</v>
      </c>
      <c r="Q767">
        <v>80</v>
      </c>
      <c r="R767">
        <v>85</v>
      </c>
      <c r="S767">
        <v>63</v>
      </c>
      <c r="T767" t="s">
        <v>58</v>
      </c>
    </row>
    <row r="768" spans="1:20" x14ac:dyDescent="0.25">
      <c r="A768">
        <v>22000091</v>
      </c>
      <c r="B768" t="s">
        <v>4</v>
      </c>
      <c r="C768" t="s">
        <v>9</v>
      </c>
      <c r="D768">
        <v>66</v>
      </c>
      <c r="E768">
        <v>46</v>
      </c>
      <c r="F768">
        <v>20</v>
      </c>
      <c r="G768">
        <v>3</v>
      </c>
      <c r="H768" s="1">
        <v>7.6851851851851855E-3</v>
      </c>
      <c r="I768">
        <v>2020</v>
      </c>
      <c r="J768" t="s">
        <v>59</v>
      </c>
      <c r="K768" s="2" t="str">
        <f>HYPERLINK("https://www.nba.com/stats/events?CFID=&amp;CFPARAMS=&amp;GameEventID=321&amp;GameID=0022000091&amp;Season=2020-21&amp;flag=1&amp;title=P.%20Beverley%208'%20driving%20floating%20Jump%20Shot%20(5%20PTS)%20(K.%20Leonard%203%20AST)", "P. Beverley 8' driving floating Jump Shot (5 PTS) (K. Leonard 3 AST)")</f>
        <v>P. Beverley 8' driving floating Jump Shot (5 PTS) (K. Leonard 3 AST)</v>
      </c>
      <c r="L768" s="2" t="str">
        <f>HYPERLINK("https://www.nba.com/game/...-vs-...-0022000091/play-by-play?watchFullGame=true", "LAC vs PHX - Q3 11:04.00")</f>
        <v>LAC vs PHX - Q3 11:04.00</v>
      </c>
      <c r="M768">
        <v>8.65</v>
      </c>
      <c r="N768">
        <v>86.81</v>
      </c>
      <c r="O768">
        <v>40.270000000000003</v>
      </c>
      <c r="P768">
        <v>-49</v>
      </c>
      <c r="Q768">
        <v>71</v>
      </c>
      <c r="R768">
        <v>86</v>
      </c>
      <c r="S768">
        <v>40</v>
      </c>
      <c r="T768" t="s">
        <v>58</v>
      </c>
    </row>
    <row r="769" spans="1:20" x14ac:dyDescent="0.25">
      <c r="A769">
        <v>21900339</v>
      </c>
      <c r="B769" t="s">
        <v>4</v>
      </c>
      <c r="C769" t="s">
        <v>61</v>
      </c>
      <c r="D769">
        <v>56</v>
      </c>
      <c r="E769">
        <v>54</v>
      </c>
      <c r="F769">
        <v>2</v>
      </c>
      <c r="G769">
        <v>2</v>
      </c>
      <c r="H769" s="1">
        <v>2.673611111111111E-3</v>
      </c>
      <c r="I769">
        <v>2019</v>
      </c>
      <c r="J769" t="s">
        <v>59</v>
      </c>
      <c r="K769" s="2" t="str">
        <f>HYPERLINK("https://www.nba.com/stats/events?CFID=&amp;CFPARAMS=&amp;GameEventID=308&amp;GameID=0021900339&amp;Season=2019-20&amp;flag=1&amp;title=P.%20George%2016'%20jumpshot%20(14%20PTS)%20(K.%20Leonard%204%20AST)", "P. George 16' jumpshot (14 PTS) (K. Leonard 4 AST)")</f>
        <v>P. George 16' jumpshot (14 PTS) (K. Leonard 4 AST)</v>
      </c>
      <c r="L769" s="2" t="str">
        <f>HYPERLINK("https://www.nba.com/game/...-vs-...-0021900339/play-by-play?watchFullGame=true", "LAC vs WAS - Q2 03:51.00")</f>
        <v>LAC vs WAS - Q2 03:51.00</v>
      </c>
      <c r="M769">
        <v>15.8</v>
      </c>
      <c r="N769">
        <v>86.51</v>
      </c>
      <c r="O769">
        <v>22.73</v>
      </c>
      <c r="P769">
        <v>-136</v>
      </c>
      <c r="Q769">
        <v>74</v>
      </c>
      <c r="R769">
        <v>86</v>
      </c>
      <c r="S769">
        <v>22</v>
      </c>
      <c r="T769" t="s">
        <v>58</v>
      </c>
    </row>
    <row r="770" spans="1:20" x14ac:dyDescent="0.25">
      <c r="A770">
        <v>22300688</v>
      </c>
      <c r="B770" t="s">
        <v>4</v>
      </c>
      <c r="C770" t="s">
        <v>9</v>
      </c>
      <c r="D770">
        <v>60</v>
      </c>
      <c r="E770">
        <v>56</v>
      </c>
      <c r="F770">
        <v>4</v>
      </c>
      <c r="G770">
        <v>2</v>
      </c>
      <c r="H770" s="1">
        <v>1.0069444444444444E-3</v>
      </c>
      <c r="I770">
        <v>2023</v>
      </c>
      <c r="J770" t="s">
        <v>59</v>
      </c>
      <c r="K770" s="2" t="str">
        <f>HYPERLINK("https://www.nba.com/stats/events?CFID=&amp;CFPARAMS=&amp;GameEventID=295&amp;GameID=0022300688&amp;Season=2023-24&amp;flag=1&amp;title=P.%20George%2017'%20turnaround%20Jump%20Shot%20(6%20PTS)%20(K.%20Leonard%202%20AST)", "P. George 17' turnaround Jump Shot (6 PTS) (K. Leonard 2 AST)")</f>
        <v>P. George 17' turnaround Jump Shot (6 PTS) (K. Leonard 2 AST)</v>
      </c>
      <c r="L770" s="2" t="str">
        <f>HYPERLINK("https://www.nba.com/game/...-vs-...-0022300688/play-by-play?watchFullGame=true", "LAC vs DET - Q2 01:27.00")</f>
        <v>LAC vs DET - Q2 01:27.00</v>
      </c>
      <c r="M770">
        <v>17.07</v>
      </c>
      <c r="N770">
        <v>86.15</v>
      </c>
      <c r="O770">
        <v>80.39</v>
      </c>
      <c r="P770">
        <v>152</v>
      </c>
      <c r="Q770">
        <v>78</v>
      </c>
      <c r="R770">
        <v>86</v>
      </c>
      <c r="S770">
        <v>80</v>
      </c>
      <c r="T770" t="s">
        <v>58</v>
      </c>
    </row>
    <row r="771" spans="1:20" x14ac:dyDescent="0.25">
      <c r="A771">
        <v>21900485</v>
      </c>
      <c r="B771" t="s">
        <v>10</v>
      </c>
      <c r="C771" t="s">
        <v>61</v>
      </c>
      <c r="D771">
        <v>66</v>
      </c>
      <c r="E771">
        <v>61</v>
      </c>
      <c r="F771">
        <v>5</v>
      </c>
      <c r="G771">
        <v>3</v>
      </c>
      <c r="H771" s="1">
        <v>8.1828703703703699E-3</v>
      </c>
      <c r="I771">
        <v>2019</v>
      </c>
      <c r="J771" t="s">
        <v>59</v>
      </c>
      <c r="K771" s="2" t="str">
        <f>HYPERLINK("https://www.nba.com/stats/events?CFID=&amp;CFPARAMS=&amp;GameEventID=330&amp;GameID=0021900485&amp;Season=2019-20&amp;flag=1&amp;title=P.%20George%2024'%203PT%20%20(11%20PTS)%20(K.%20Leonard%204%20AST)", "P. George 24' 3PT  (11 PTS) (K. Leonard 4 AST)")</f>
        <v>P. George 24' 3PT  (11 PTS) (K. Leonard 4 AST)</v>
      </c>
      <c r="L771" s="2" t="str">
        <f>HYPERLINK("https://www.nba.com/game/...-vs-...-0021900485/play-by-play?watchFullGame=true", "LAC vs UTA - Q3 11:47.00")</f>
        <v>LAC vs UTA - Q3 11:47.00</v>
      </c>
      <c r="M771">
        <v>24.34</v>
      </c>
      <c r="N771">
        <v>86.38</v>
      </c>
      <c r="O771">
        <v>4.0999999999999996</v>
      </c>
      <c r="P771">
        <v>-230</v>
      </c>
      <c r="Q771">
        <v>75</v>
      </c>
      <c r="R771">
        <v>86</v>
      </c>
      <c r="S771">
        <v>4</v>
      </c>
      <c r="T771" t="s">
        <v>58</v>
      </c>
    </row>
    <row r="772" spans="1:20" x14ac:dyDescent="0.25">
      <c r="A772">
        <v>22200784</v>
      </c>
      <c r="B772" t="s">
        <v>4</v>
      </c>
      <c r="C772" t="s">
        <v>70</v>
      </c>
      <c r="D772">
        <v>100</v>
      </c>
      <c r="E772">
        <v>96</v>
      </c>
      <c r="F772">
        <v>4</v>
      </c>
      <c r="G772">
        <v>4</v>
      </c>
      <c r="H772" s="1">
        <v>3.2407407407407406E-3</v>
      </c>
      <c r="I772">
        <v>2022</v>
      </c>
      <c r="J772" t="s">
        <v>59</v>
      </c>
      <c r="K772" s="2" t="str">
        <f>HYPERLINK("https://www.nba.com/stats/events?CFID=&amp;CFPARAMS=&amp;GameEventID=587&amp;GameID=0022200784&amp;Season=2022-23&amp;flag=1&amp;title=I.%20Zubac%208'%20turnaround%20Hook%20(12%20PTS)%20(K.%20Leonard%204%20AST)", "I. Zubac 8' turnaround Hook (12 PTS) (K. Leonard 4 AST)")</f>
        <v>I. Zubac 8' turnaround Hook (12 PTS) (K. Leonard 4 AST)</v>
      </c>
      <c r="L772" s="2" t="str">
        <f>HYPERLINK("https://www.nba.com/game/...-vs-...-0022200784/play-by-play?watchFullGame=true", "LAC vs MIL - Q4 04:40.00")</f>
        <v>LAC vs MIL - Q4 04:40.00</v>
      </c>
      <c r="M772">
        <v>8.61</v>
      </c>
      <c r="N772">
        <v>86.55</v>
      </c>
      <c r="O772">
        <v>41.18</v>
      </c>
      <c r="P772">
        <v>-44</v>
      </c>
      <c r="Q772">
        <v>74</v>
      </c>
      <c r="R772">
        <v>86</v>
      </c>
      <c r="S772">
        <v>41</v>
      </c>
      <c r="T772" t="s">
        <v>58</v>
      </c>
    </row>
    <row r="773" spans="1:20" x14ac:dyDescent="0.25">
      <c r="A773">
        <v>22201215</v>
      </c>
      <c r="B773" t="s">
        <v>4</v>
      </c>
      <c r="C773" t="s">
        <v>70</v>
      </c>
      <c r="D773">
        <v>8</v>
      </c>
      <c r="E773">
        <v>5</v>
      </c>
      <c r="F773">
        <v>3</v>
      </c>
      <c r="G773">
        <v>1</v>
      </c>
      <c r="H773" s="1">
        <v>5.5092592592592589E-3</v>
      </c>
      <c r="I773">
        <v>2022</v>
      </c>
      <c r="J773" t="s">
        <v>59</v>
      </c>
      <c r="K773" s="2" t="str">
        <f>HYPERLINK("https://www.nba.com/stats/events?CFID=&amp;CFPARAMS=&amp;GameEventID=42&amp;GameID=0022201215&amp;Season=2022-23&amp;flag=1&amp;title=I.%20Zubac%207'%20turnaround%20Hook%20(6%20PTS)%20(K.%20Leonard%203%20AST)", "I. Zubac 7' turnaround Hook (6 PTS) (K. Leonard 3 AST)")</f>
        <v>I. Zubac 7' turnaround Hook (6 PTS) (K. Leonard 3 AST)</v>
      </c>
      <c r="L773" s="2" t="str">
        <f>HYPERLINK("https://www.nba.com/game/...-vs-...-0022201215/play-by-play?watchFullGame=true", "LAC vs POR - Q1 07:56.00")</f>
        <v>LAC vs POR - Q1 07:56.00</v>
      </c>
      <c r="M773">
        <v>7.65</v>
      </c>
      <c r="N773">
        <v>86.51</v>
      </c>
      <c r="O773">
        <v>53.68</v>
      </c>
      <c r="P773">
        <v>18</v>
      </c>
      <c r="Q773">
        <v>74</v>
      </c>
      <c r="R773">
        <v>86</v>
      </c>
      <c r="S773">
        <v>53</v>
      </c>
      <c r="T773" t="s">
        <v>58</v>
      </c>
    </row>
    <row r="774" spans="1:20" x14ac:dyDescent="0.25">
      <c r="A774">
        <v>41900232</v>
      </c>
      <c r="B774" t="s">
        <v>4</v>
      </c>
      <c r="C774" t="s">
        <v>61</v>
      </c>
      <c r="D774">
        <v>11</v>
      </c>
      <c r="E774">
        <v>23</v>
      </c>
      <c r="F774">
        <v>12</v>
      </c>
      <c r="G774">
        <v>1</v>
      </c>
      <c r="H774" s="1">
        <v>3.6805555555555554E-3</v>
      </c>
      <c r="I774" t="s">
        <v>62</v>
      </c>
      <c r="J774" t="s">
        <v>59</v>
      </c>
      <c r="K774" s="2" t="str">
        <f>HYPERLINK("https://www.nba.com/stats/events?CFID=&amp;CFPARAMS=&amp;GameEventID=83&amp;GameID=0041900232&amp;Season=2019-20&amp;flag=1&amp;title=L.%20Williams%2020'%20jumpshot%20(2%20PTS)%20(K.%20Leonard%202%20AST)", "L. Williams 20' jumpshot (2 PTS) (K. Leonard 2 AST)")</f>
        <v>L. Williams 20' jumpshot (2 PTS) (K. Leonard 2 AST)</v>
      </c>
      <c r="L774" s="2" t="str">
        <f>HYPERLINK("https://www.nba.com/game/...-vs-...-0041900232/play-by-play?watchFullGame=true", "LAC vs DEN - Q1 05:18.00")</f>
        <v>LAC vs DEN - Q1 05:18.00</v>
      </c>
      <c r="M774">
        <v>20.45</v>
      </c>
      <c r="N774">
        <v>86.55</v>
      </c>
      <c r="O774">
        <v>12.32</v>
      </c>
      <c r="P774">
        <v>-188</v>
      </c>
      <c r="Q774">
        <v>74</v>
      </c>
      <c r="R774">
        <v>86</v>
      </c>
      <c r="S774">
        <v>12</v>
      </c>
      <c r="T774" t="s">
        <v>58</v>
      </c>
    </row>
    <row r="775" spans="1:20" x14ac:dyDescent="0.25">
      <c r="A775">
        <v>22400659</v>
      </c>
      <c r="B775" t="s">
        <v>4</v>
      </c>
      <c r="C775" t="s">
        <v>70</v>
      </c>
      <c r="D775">
        <v>9</v>
      </c>
      <c r="E775">
        <v>4</v>
      </c>
      <c r="F775">
        <v>5</v>
      </c>
      <c r="G775">
        <v>1</v>
      </c>
      <c r="H775" s="1">
        <v>6.851851851851852E-3</v>
      </c>
      <c r="I775">
        <v>2024</v>
      </c>
      <c r="J775" t="s">
        <v>59</v>
      </c>
      <c r="K775" s="2" t="str">
        <f>HYPERLINK("https://www.nba.com/stats/events?CFID=&amp;CFPARAMS=&amp;GameEventID=22&amp;GameID=0022400659&amp;Season=2024-25&amp;flag=1&amp;title=I.%20Zubac%207'%20turnaround%20Hook%20(4%20PTS)%20(K.%20Leonard%201%20AST)", "I. Zubac 7' turnaround Hook (4 PTS) (K. Leonard 1 AST)")</f>
        <v>I. Zubac 7' turnaround Hook (4 PTS) (K. Leonard 1 AST)</v>
      </c>
      <c r="L775" s="2" t="str">
        <f>HYPERLINK("https://www.nba.com/game/...-vs-...-0022400659/play-by-play?watchFullGame=true", "LAC vs PHX - Q1 09:52.00")</f>
        <v>LAC vs PHX - Q1 09:52.00</v>
      </c>
      <c r="M775">
        <v>7.58</v>
      </c>
      <c r="N775">
        <v>86.42</v>
      </c>
      <c r="O775">
        <v>51.96</v>
      </c>
      <c r="P775">
        <v>10</v>
      </c>
      <c r="Q775">
        <v>75</v>
      </c>
      <c r="R775">
        <v>86</v>
      </c>
      <c r="S775">
        <v>51</v>
      </c>
      <c r="T775" t="s">
        <v>58</v>
      </c>
    </row>
    <row r="776" spans="1:20" x14ac:dyDescent="0.25">
      <c r="A776">
        <v>22200784</v>
      </c>
      <c r="B776" t="s">
        <v>4</v>
      </c>
      <c r="C776" t="s">
        <v>70</v>
      </c>
      <c r="D776">
        <v>75</v>
      </c>
      <c r="E776">
        <v>55</v>
      </c>
      <c r="F776">
        <v>20</v>
      </c>
      <c r="G776">
        <v>3</v>
      </c>
      <c r="H776" s="1">
        <v>5.5092592592592589E-3</v>
      </c>
      <c r="I776">
        <v>2022</v>
      </c>
      <c r="J776" t="s">
        <v>59</v>
      </c>
      <c r="K776" s="2" t="str">
        <f>HYPERLINK("https://www.nba.com/stats/events?CFID=&amp;CFPARAMS=&amp;GameEventID=357&amp;GameID=0022200784&amp;Season=2022-23&amp;flag=1&amp;title=I.%20Zubac%208'%20Hook%20(7%20PTS)%20(K.%20Leonard%203%20AST)", "I. Zubac 8' Hook (7 PTS) (K. Leonard 3 AST)")</f>
        <v>I. Zubac 8' Hook (7 PTS) (K. Leonard 3 AST)</v>
      </c>
      <c r="L776" s="2" t="str">
        <f>HYPERLINK("https://www.nba.com/game/...-vs-...-0022200784/play-by-play?watchFullGame=true", "LAC vs MIL - Q3 07:56.00")</f>
        <v>LAC vs MIL - Q3 07:56.00</v>
      </c>
      <c r="M776">
        <v>8.1199999999999992</v>
      </c>
      <c r="N776">
        <v>87.07</v>
      </c>
      <c r="O776">
        <v>41.42</v>
      </c>
      <c r="P776">
        <v>-43</v>
      </c>
      <c r="Q776">
        <v>69</v>
      </c>
      <c r="R776">
        <v>87</v>
      </c>
      <c r="S776">
        <v>41</v>
      </c>
      <c r="T776" t="s">
        <v>58</v>
      </c>
    </row>
    <row r="777" spans="1:20" x14ac:dyDescent="0.25">
      <c r="A777">
        <v>22400553</v>
      </c>
      <c r="B777" t="s">
        <v>4</v>
      </c>
      <c r="C777" t="s">
        <v>70</v>
      </c>
      <c r="D777">
        <v>18</v>
      </c>
      <c r="E777">
        <v>23</v>
      </c>
      <c r="F777">
        <v>5</v>
      </c>
      <c r="G777">
        <v>1</v>
      </c>
      <c r="H777" s="1">
        <v>3.4375E-3</v>
      </c>
      <c r="I777">
        <v>2024</v>
      </c>
      <c r="J777" t="s">
        <v>59</v>
      </c>
      <c r="K777" s="2" t="str">
        <f>HYPERLINK("https://www.nba.com/stats/events?CFID=&amp;CFPARAMS=&amp;GameEventID=69&amp;GameID=0022400553&amp;Season=2024-25&amp;flag=1&amp;title=I.%20Zubac%206'%20driving%20Hook%20(7%20PTS)%20(K.%20Leonard%201%20AST)", "I. Zubac 6' driving Hook (7 PTS) (K. Leonard 1 AST)")</f>
        <v>I. Zubac 6' driving Hook (7 PTS) (K. Leonard 1 AST)</v>
      </c>
      <c r="L777" s="2" t="str">
        <f>HYPERLINK("https://www.nba.com/game/...-vs-...-0022400553/play-by-play?watchFullGame=true", "LAC vs MIA - Q1 04:57.00")</f>
        <v>LAC vs MIA - Q1 04:57.00</v>
      </c>
      <c r="M777">
        <v>6.05</v>
      </c>
      <c r="N777">
        <v>87.99</v>
      </c>
      <c r="O777">
        <v>49.51</v>
      </c>
      <c r="P777">
        <v>-2</v>
      </c>
      <c r="Q777">
        <v>60</v>
      </c>
      <c r="R777">
        <v>87</v>
      </c>
      <c r="S777">
        <v>49</v>
      </c>
      <c r="T777" t="s">
        <v>58</v>
      </c>
    </row>
    <row r="778" spans="1:20" x14ac:dyDescent="0.25">
      <c r="A778">
        <v>22400751</v>
      </c>
      <c r="B778" t="s">
        <v>4</v>
      </c>
      <c r="C778" t="s">
        <v>9</v>
      </c>
      <c r="D778">
        <v>60</v>
      </c>
      <c r="E778">
        <v>56</v>
      </c>
      <c r="F778">
        <v>4</v>
      </c>
      <c r="G778">
        <v>3</v>
      </c>
      <c r="H778" s="1">
        <v>8.0439814814814818E-3</v>
      </c>
      <c r="I778">
        <v>2024</v>
      </c>
      <c r="J778" t="s">
        <v>59</v>
      </c>
      <c r="K778" s="2" t="str">
        <f>HYPERLINK("https://www.nba.com/stats/events?CFID=&amp;CFPARAMS=&amp;GameEventID=338&amp;GameID=0022400751&amp;Season=2024-25&amp;flag=1&amp;title=N.%20Powell%206'%20driving%20floating%20Jump%20Shot%20(17%20PTS)%20(K.%20Leonard%201%20AST)", "N. Powell 6' driving floating Jump Shot (17 PTS) (K. Leonard 1 AST)")</f>
        <v>N. Powell 6' driving floating Jump Shot (17 PTS) (K. Leonard 1 AST)</v>
      </c>
      <c r="L778" s="2" t="str">
        <f>HYPERLINK("https://www.nba.com/game/...-vs-...-0022400751/play-by-play?watchFullGame=true", "LAC vs UTA - Q3 11:35.00")</f>
        <v>LAC vs UTA - Q3 11:35.00</v>
      </c>
      <c r="M778">
        <v>6.9</v>
      </c>
      <c r="N778">
        <v>87.07</v>
      </c>
      <c r="O778">
        <v>50.25</v>
      </c>
      <c r="P778">
        <v>1</v>
      </c>
      <c r="Q778">
        <v>69</v>
      </c>
      <c r="R778">
        <v>87</v>
      </c>
      <c r="S778">
        <v>50</v>
      </c>
      <c r="T778" t="s">
        <v>58</v>
      </c>
    </row>
    <row r="779" spans="1:20" x14ac:dyDescent="0.25">
      <c r="A779">
        <v>21900516</v>
      </c>
      <c r="B779" t="s">
        <v>4</v>
      </c>
      <c r="C779" t="s">
        <v>61</v>
      </c>
      <c r="D779">
        <v>2</v>
      </c>
      <c r="E779">
        <v>2</v>
      </c>
      <c r="F779">
        <v>0</v>
      </c>
      <c r="G779">
        <v>1</v>
      </c>
      <c r="H779" s="1">
        <v>7.9282407407407409E-3</v>
      </c>
      <c r="I779">
        <v>2019</v>
      </c>
      <c r="J779" t="s">
        <v>59</v>
      </c>
      <c r="K779" s="2" t="str">
        <f>HYPERLINK("https://www.nba.com/stats/events?CFID=&amp;CFPARAMS=&amp;GameEventID=10&amp;GameID=0021900516&amp;Season=2019-20&amp;flag=1&amp;title=I.%20Zubac%2017'%20jumpshot%20(2%20PTS)%20(K.%20Leonard%201%20AST)", "I. Zubac 17' jumpshot (2 PTS) (K. Leonard 1 AST)")</f>
        <v>I. Zubac 17' jumpshot (2 PTS) (K. Leonard 1 AST)</v>
      </c>
      <c r="L779" s="2" t="str">
        <f>HYPERLINK("https://www.nba.com/game/...-vs-...-0021900516/play-by-play?watchFullGame=true", "LAC vs DET - Q1 11:25.00")</f>
        <v>LAC vs DET - Q1 11:25.00</v>
      </c>
      <c r="M779">
        <v>16.52</v>
      </c>
      <c r="N779">
        <v>87.17</v>
      </c>
      <c r="O779">
        <v>79.59</v>
      </c>
      <c r="P779">
        <v>148</v>
      </c>
      <c r="Q779">
        <v>68</v>
      </c>
      <c r="R779">
        <v>87</v>
      </c>
      <c r="S779">
        <v>79</v>
      </c>
      <c r="T779" t="s">
        <v>58</v>
      </c>
    </row>
    <row r="780" spans="1:20" x14ac:dyDescent="0.25">
      <c r="A780">
        <v>22000501</v>
      </c>
      <c r="B780" t="s">
        <v>4</v>
      </c>
      <c r="C780" t="s">
        <v>9</v>
      </c>
      <c r="D780">
        <v>10</v>
      </c>
      <c r="E780">
        <v>9</v>
      </c>
      <c r="F780">
        <v>1</v>
      </c>
      <c r="G780">
        <v>1</v>
      </c>
      <c r="H780" s="1">
        <v>5.8449074074074072E-3</v>
      </c>
      <c r="I780">
        <v>2020</v>
      </c>
      <c r="J780" t="s">
        <v>59</v>
      </c>
      <c r="K780" s="2" t="str">
        <f>HYPERLINK("https://www.nba.com/stats/events?CFID=&amp;CFPARAMS=&amp;GameEventID=38&amp;GameID=0022000501&amp;Season=2020-21&amp;flag=1&amp;title=P.%20Beverley%207'%20driving%20floating%20Jump%20Shot%20(2%20PTS)%20(K.%20Leonard%201%20AST)", "P. Beverley 7' driving floating Jump Shot (2 PTS) (K. Leonard 1 AST)")</f>
        <v>P. Beverley 7' driving floating Jump Shot (2 PTS) (K. Leonard 1 AST)</v>
      </c>
      <c r="L780" s="2" t="str">
        <f>HYPERLINK("https://www.nba.com/game/...-vs-...-0022000501/play-by-play?watchFullGame=true", "LAC vs MEM - Q1 08:25.00")</f>
        <v>LAC vs MEM - Q1 08:25.00</v>
      </c>
      <c r="M780">
        <v>7.35</v>
      </c>
      <c r="N780">
        <v>87.07</v>
      </c>
      <c r="O780">
        <v>44.92</v>
      </c>
      <c r="P780">
        <v>-25</v>
      </c>
      <c r="Q780">
        <v>69</v>
      </c>
      <c r="R780">
        <v>87</v>
      </c>
      <c r="S780">
        <v>44</v>
      </c>
      <c r="T780" t="s">
        <v>58</v>
      </c>
    </row>
    <row r="781" spans="1:20" x14ac:dyDescent="0.25">
      <c r="A781">
        <v>22000775</v>
      </c>
      <c r="B781" t="s">
        <v>4</v>
      </c>
      <c r="C781" t="s">
        <v>70</v>
      </c>
      <c r="D781">
        <v>20</v>
      </c>
      <c r="E781">
        <v>10</v>
      </c>
      <c r="F781">
        <v>10</v>
      </c>
      <c r="G781">
        <v>1</v>
      </c>
      <c r="H781" s="1">
        <v>5.4976851851851853E-3</v>
      </c>
      <c r="I781">
        <v>2020</v>
      </c>
      <c r="J781" t="s">
        <v>59</v>
      </c>
      <c r="K781" s="2" t="str">
        <f>HYPERLINK("https://www.nba.com/stats/events?CFID=&amp;CFPARAMS=&amp;GameEventID=38&amp;GameID=0022000775&amp;Season=2020-21&amp;flag=1&amp;title=I.%20Zubac%206'%20Hook%20(2%20PTS)%20(K.%20Leonard%203%20AST)", "I. Zubac 6' Hook (2 PTS) (K. Leonard 3 AST)")</f>
        <v>I. Zubac 6' Hook (2 PTS) (K. Leonard 3 AST)</v>
      </c>
      <c r="L781" s="2" t="str">
        <f>HYPERLINK("https://www.nba.com/game/...-vs-...-0022000775/play-by-play?watchFullGame=true", "LAC vs POR - Q1 07:55.00")</f>
        <v>LAC vs POR - Q1 07:55.00</v>
      </c>
      <c r="M781">
        <v>6.54</v>
      </c>
      <c r="N781">
        <v>87.6</v>
      </c>
      <c r="O781">
        <v>47.37</v>
      </c>
      <c r="P781">
        <v>-13</v>
      </c>
      <c r="Q781">
        <v>64</v>
      </c>
      <c r="R781">
        <v>87</v>
      </c>
      <c r="S781">
        <v>47</v>
      </c>
      <c r="T781" t="s">
        <v>58</v>
      </c>
    </row>
    <row r="782" spans="1:20" x14ac:dyDescent="0.25">
      <c r="A782">
        <v>22200255</v>
      </c>
      <c r="B782" t="s">
        <v>4</v>
      </c>
      <c r="C782" t="s">
        <v>9</v>
      </c>
      <c r="D782">
        <v>68</v>
      </c>
      <c r="E782">
        <v>62</v>
      </c>
      <c r="F782">
        <v>6</v>
      </c>
      <c r="G782">
        <v>3</v>
      </c>
      <c r="H782" s="1">
        <v>7.1643518518518514E-3</v>
      </c>
      <c r="I782">
        <v>2022</v>
      </c>
      <c r="J782" t="s">
        <v>59</v>
      </c>
      <c r="K782" s="2" t="str">
        <f>HYPERLINK("https://www.nba.com/stats/events?CFID=&amp;CFPARAMS=&amp;GameEventID=344&amp;GameID=0022200255&amp;Season=2022-23&amp;flag=1&amp;title=T.%20Mann%207'%20pullup%20Jump%20Shot%20(4%20PTS)%20(K.%20Leonard%203%20AST)", "T. Mann 7' pullup Jump Shot (4 PTS) (K. Leonard 3 AST)")</f>
        <v>T. Mann 7' pullup Jump Shot (4 PTS) (K. Leonard 3 AST)</v>
      </c>
      <c r="L782" s="2" t="str">
        <f>HYPERLINK("https://www.nba.com/game/...-vs-...-0022200255/play-by-play?watchFullGame=true", "LAC vs UTA - Q3 10:19.00")</f>
        <v>LAC vs UTA - Q3 10:19.00</v>
      </c>
      <c r="M782">
        <v>7.08</v>
      </c>
      <c r="N782">
        <v>87.3</v>
      </c>
      <c r="O782">
        <v>45.34</v>
      </c>
      <c r="P782">
        <v>-23</v>
      </c>
      <c r="Q782">
        <v>67</v>
      </c>
      <c r="R782">
        <v>87</v>
      </c>
      <c r="S782">
        <v>45</v>
      </c>
      <c r="T782" t="s">
        <v>58</v>
      </c>
    </row>
    <row r="783" spans="1:20" x14ac:dyDescent="0.25">
      <c r="A783">
        <v>41900234</v>
      </c>
      <c r="B783" t="s">
        <v>10</v>
      </c>
      <c r="C783" t="s">
        <v>61</v>
      </c>
      <c r="D783">
        <v>86</v>
      </c>
      <c r="E783">
        <v>67</v>
      </c>
      <c r="F783">
        <v>19</v>
      </c>
      <c r="G783">
        <v>4</v>
      </c>
      <c r="H783" s="1">
        <v>5.0578703703703706E-3</v>
      </c>
      <c r="I783" t="s">
        <v>62</v>
      </c>
      <c r="J783" t="s">
        <v>59</v>
      </c>
      <c r="K783" s="2" t="str">
        <f>HYPERLINK("https://www.nba.com/stats/events?CFID=&amp;CFPARAMS=&amp;GameEventID=578&amp;GameID=0041900234&amp;Season=2019-20&amp;flag=1&amp;title=P.%20George%2023'%203PT%20%20(10%20PTS)%20(K.%20Leonard%207%20AST)", "P. George 23' 3PT  (10 PTS) (K. Leonard 7 AST)")</f>
        <v>P. George 23' 3PT  (10 PTS) (K. Leonard 7 AST)</v>
      </c>
      <c r="L783" s="2" t="str">
        <f>HYPERLINK("https://www.nba.com/game/...-vs-...-0041900234/play-by-play?watchFullGame=true", "LAC vs DEN - Q4 07:17.00")</f>
        <v>LAC vs DEN - Q4 07:17.00</v>
      </c>
      <c r="M783">
        <v>23.27</v>
      </c>
      <c r="N783">
        <v>87.2</v>
      </c>
      <c r="O783">
        <v>94.19</v>
      </c>
      <c r="P783">
        <v>221</v>
      </c>
      <c r="Q783">
        <v>68</v>
      </c>
      <c r="R783">
        <v>87</v>
      </c>
      <c r="S783">
        <v>94</v>
      </c>
      <c r="T783" t="s">
        <v>58</v>
      </c>
    </row>
    <row r="784" spans="1:20" x14ac:dyDescent="0.25">
      <c r="A784">
        <v>22400646</v>
      </c>
      <c r="B784" t="s">
        <v>10</v>
      </c>
      <c r="C784" t="s">
        <v>9</v>
      </c>
      <c r="D784">
        <v>33</v>
      </c>
      <c r="E784">
        <v>28</v>
      </c>
      <c r="F784">
        <v>5</v>
      </c>
      <c r="G784">
        <v>2</v>
      </c>
      <c r="H784" s="1">
        <v>7.6388888888888886E-3</v>
      </c>
      <c r="I784">
        <v>2024</v>
      </c>
      <c r="J784" t="s">
        <v>59</v>
      </c>
      <c r="K784" s="2" t="str">
        <f>HYPERLINK("https://www.nba.com/stats/events?CFID=&amp;CFPARAMS=&amp;GameEventID=175&amp;GameID=0022400646&amp;Season=2024-25&amp;flag=1&amp;title=A.%20Coffey%2024'%203PT%20%20(3%20PTS)%20(K.%20Leonard%201%20AST)", "A. Coffey 24' 3PT  (3 PTS) (K. Leonard 1 AST)")</f>
        <v>A. Coffey 24' 3PT  (3 PTS) (K. Leonard 1 AST)</v>
      </c>
      <c r="L784" s="2" t="str">
        <f>HYPERLINK("https://www.nba.com/game/...-vs-...-0022400646/play-by-play?watchFullGame=true", "LAC vs MIL - Q2 11:00.00")</f>
        <v>LAC vs MIL - Q2 11:00.00</v>
      </c>
      <c r="M784">
        <v>24.78</v>
      </c>
      <c r="N784">
        <v>87.47</v>
      </c>
      <c r="O784">
        <v>2.21</v>
      </c>
      <c r="P784">
        <v>-239</v>
      </c>
      <c r="Q784">
        <v>65</v>
      </c>
      <c r="R784">
        <v>87</v>
      </c>
      <c r="S784">
        <v>2</v>
      </c>
      <c r="T784" t="s">
        <v>58</v>
      </c>
    </row>
    <row r="785" spans="1:20" x14ac:dyDescent="0.25">
      <c r="A785">
        <v>41900231</v>
      </c>
      <c r="B785" t="s">
        <v>10</v>
      </c>
      <c r="C785" t="s">
        <v>61</v>
      </c>
      <c r="D785">
        <v>3</v>
      </c>
      <c r="E785">
        <v>4</v>
      </c>
      <c r="F785">
        <v>1</v>
      </c>
      <c r="G785">
        <v>1</v>
      </c>
      <c r="H785" s="1">
        <v>7.1643518518518514E-3</v>
      </c>
      <c r="I785" t="s">
        <v>62</v>
      </c>
      <c r="J785" t="s">
        <v>59</v>
      </c>
      <c r="K785" s="2" t="str">
        <f>HYPERLINK("https://www.nba.com/stats/events?CFID=&amp;CFPARAMS=&amp;GameEventID=20&amp;GameID=0041900231&amp;Season=2019-20&amp;flag=1&amp;title=P.%20Beverley%2023'%203PT%20%20(3%20PTS)%20(K.%20Leonard%201%20AST)", "P. Beverley 23' 3PT  (3 PTS) (K. Leonard 1 AST)")</f>
        <v>P. Beverley 23' 3PT  (3 PTS) (K. Leonard 1 AST)</v>
      </c>
      <c r="L785" s="2" t="str">
        <f>HYPERLINK("https://www.nba.com/game/...-vs-...-0041900231/play-by-play?watchFullGame=true", "LAC vs DEN - Q1 10:19.00")</f>
        <v>LAC vs DEN - Q1 10:19.00</v>
      </c>
      <c r="M785">
        <v>23.48</v>
      </c>
      <c r="N785">
        <v>87.73</v>
      </c>
      <c r="O785">
        <v>94.92</v>
      </c>
      <c r="P785">
        <v>225</v>
      </c>
      <c r="Q785">
        <v>63</v>
      </c>
      <c r="R785">
        <v>87</v>
      </c>
      <c r="S785">
        <v>94</v>
      </c>
      <c r="T785" t="s">
        <v>58</v>
      </c>
    </row>
    <row r="786" spans="1:20" x14ac:dyDescent="0.25">
      <c r="A786">
        <v>22000799</v>
      </c>
      <c r="B786" t="s">
        <v>10</v>
      </c>
      <c r="C786" t="s">
        <v>9</v>
      </c>
      <c r="D786">
        <v>60</v>
      </c>
      <c r="E786">
        <v>44</v>
      </c>
      <c r="F786">
        <v>16</v>
      </c>
      <c r="G786">
        <v>2</v>
      </c>
      <c r="H786" s="1">
        <v>1.4467592592592592E-3</v>
      </c>
      <c r="I786">
        <v>2020</v>
      </c>
      <c r="J786" t="s">
        <v>59</v>
      </c>
      <c r="K786" s="2" t="str">
        <f>HYPERLINK("https://www.nba.com/stats/events?CFID=&amp;CFPARAMS=&amp;GameEventID=309&amp;GameID=0022000799&amp;Season=2020-21&amp;flag=1&amp;title=M.%20Morris%20Sr.%2024'%203PT%20%20(5%20PTS)%20(K.%20Leonard%206%20AST)", "M. Morris Sr. 24' 3PT  (5 PTS) (K. Leonard 6 AST)")</f>
        <v>M. Morris Sr. 24' 3PT  (5 PTS) (K. Leonard 6 AST)</v>
      </c>
      <c r="L786" s="2" t="str">
        <f>HYPERLINK("https://www.nba.com/game/...-vs-...-0022000799/play-by-play?watchFullGame=true", "LAC vs HOU - Q2 02:05.00")</f>
        <v>LAC vs HOU - Q2 02:05.00</v>
      </c>
      <c r="M786">
        <v>24.1</v>
      </c>
      <c r="N786">
        <v>87.2</v>
      </c>
      <c r="O786">
        <v>3.75</v>
      </c>
      <c r="P786">
        <v>-231</v>
      </c>
      <c r="Q786">
        <v>68</v>
      </c>
      <c r="R786">
        <v>87</v>
      </c>
      <c r="S786">
        <v>3</v>
      </c>
      <c r="T786" t="s">
        <v>58</v>
      </c>
    </row>
    <row r="787" spans="1:20" x14ac:dyDescent="0.25">
      <c r="A787">
        <v>22200687</v>
      </c>
      <c r="B787" t="s">
        <v>4</v>
      </c>
      <c r="C787" t="s">
        <v>9</v>
      </c>
      <c r="D787">
        <v>17</v>
      </c>
      <c r="E787">
        <v>19</v>
      </c>
      <c r="F787">
        <v>2</v>
      </c>
      <c r="G787">
        <v>1</v>
      </c>
      <c r="H787" s="1">
        <v>3.9004629629629628E-3</v>
      </c>
      <c r="I787">
        <v>2022</v>
      </c>
      <c r="J787" t="s">
        <v>59</v>
      </c>
      <c r="K787" s="2" t="str">
        <f>HYPERLINK("https://www.nba.com/stats/events?CFID=&amp;CFPARAMS=&amp;GameEventID=67&amp;GameID=0022200687&amp;Season=2022-23&amp;flag=1&amp;title=P.%20George%2010'%20Jump%20Shot%20(2%20PTS)%20(K.%20Leonard%201%20AST)", "P. George 10' Jump Shot (2 PTS) (K. Leonard 1 AST)")</f>
        <v>P. George 10' Jump Shot (2 PTS) (K. Leonard 1 AST)</v>
      </c>
      <c r="L787" s="2" t="str">
        <f>HYPERLINK("https://www.nba.com/game/...-vs-...-0022200687/play-by-play?watchFullGame=true", "LAC vs SAS - Q1 05:37.00")</f>
        <v>LAC vs SAS - Q1 05:37.00</v>
      </c>
      <c r="M787">
        <v>10.19</v>
      </c>
      <c r="N787">
        <v>87.34</v>
      </c>
      <c r="O787">
        <v>65.44</v>
      </c>
      <c r="P787">
        <v>77</v>
      </c>
      <c r="Q787">
        <v>67</v>
      </c>
      <c r="R787">
        <v>87</v>
      </c>
      <c r="S787">
        <v>65</v>
      </c>
      <c r="T787" t="s">
        <v>58</v>
      </c>
    </row>
    <row r="788" spans="1:20" x14ac:dyDescent="0.25">
      <c r="A788">
        <v>22400911</v>
      </c>
      <c r="B788" t="s">
        <v>10</v>
      </c>
      <c r="C788" t="s">
        <v>9</v>
      </c>
      <c r="D788">
        <v>47</v>
      </c>
      <c r="E788">
        <v>47</v>
      </c>
      <c r="F788">
        <v>0</v>
      </c>
      <c r="G788">
        <v>2</v>
      </c>
      <c r="H788" s="1">
        <v>2.673611111111111E-3</v>
      </c>
      <c r="I788">
        <v>2024</v>
      </c>
      <c r="J788" t="s">
        <v>59</v>
      </c>
      <c r="K788" s="2" t="str">
        <f>HYPERLINK("https://www.nba.com/stats/events?CFID=&amp;CFPARAMS=&amp;GameEventID=240&amp;GameID=0022400911&amp;Season=2024-25&amp;flag=1&amp;title=N.%20Batum%203PT%20%20(11%20PTS)%20(K.%20Leonard%203%20AST)", "N. Batum 3PT  (11 PTS) (K. Leonard 3 AST)")</f>
        <v>N. Batum 3PT  (11 PTS) (K. Leonard 3 AST)</v>
      </c>
      <c r="L788" s="2" t="str">
        <f>HYPERLINK("https://www.nba.com/game/...-vs-...-0022400911/play-by-play?watchFullGame=true", "LAC vs NYK - Q2 03:51.00")</f>
        <v>LAC vs NYK - Q2 03:51.00</v>
      </c>
      <c r="M788">
        <v>23.86</v>
      </c>
      <c r="N788">
        <v>87.78</v>
      </c>
      <c r="O788">
        <v>3.94</v>
      </c>
      <c r="P788">
        <v>-230</v>
      </c>
      <c r="Q788">
        <v>62</v>
      </c>
      <c r="R788">
        <v>87</v>
      </c>
      <c r="S788">
        <v>3</v>
      </c>
      <c r="T788" t="s">
        <v>58</v>
      </c>
    </row>
    <row r="789" spans="1:20" x14ac:dyDescent="0.25">
      <c r="A789">
        <v>22000172</v>
      </c>
      <c r="B789" t="s">
        <v>4</v>
      </c>
      <c r="C789" t="s">
        <v>64</v>
      </c>
      <c r="D789">
        <v>99</v>
      </c>
      <c r="E789">
        <v>89</v>
      </c>
      <c r="F789">
        <v>10</v>
      </c>
      <c r="G789">
        <v>4</v>
      </c>
      <c r="H789" s="1">
        <v>3.3333333333333335E-3</v>
      </c>
      <c r="I789">
        <v>2020</v>
      </c>
      <c r="J789" t="s">
        <v>59</v>
      </c>
      <c r="K789" s="2" t="str">
        <f>HYPERLINK("https://www.nba.com/stats/events?CFID=&amp;CFPARAMS=&amp;GameEventID=514&amp;GameID=0022000172&amp;Season=2020-21&amp;flag=1&amp;title=P.%20George%20driving%20Layup%20(23%20PTS)%20(K.%20Leonard%208%20AST)", "P. George driving Layup (23 PTS) (K. Leonard 8 AST)")</f>
        <v>P. George driving Layup (23 PTS) (K. Leonard 8 AST)</v>
      </c>
      <c r="L789" s="2" t="str">
        <f>HYPERLINK("https://www.nba.com/game/...-vs-...-0022000172/play-by-play?watchFullGame=true", "LAC vs NOP - Q4 04:48.00")</f>
        <v>LAC vs NOP - Q4 04:48.00</v>
      </c>
      <c r="M789">
        <v>5.45</v>
      </c>
      <c r="N789">
        <v>88.62</v>
      </c>
      <c r="O789">
        <v>49.69</v>
      </c>
      <c r="P789">
        <v>-2</v>
      </c>
      <c r="Q789">
        <v>55</v>
      </c>
      <c r="R789">
        <v>88</v>
      </c>
      <c r="S789">
        <v>49</v>
      </c>
      <c r="T789" t="s">
        <v>58</v>
      </c>
    </row>
    <row r="790" spans="1:20" x14ac:dyDescent="0.25">
      <c r="A790">
        <v>22000488</v>
      </c>
      <c r="B790" t="s">
        <v>4</v>
      </c>
      <c r="C790" t="s">
        <v>70</v>
      </c>
      <c r="D790">
        <v>33</v>
      </c>
      <c r="E790">
        <v>20</v>
      </c>
      <c r="F790">
        <v>13</v>
      </c>
      <c r="G790">
        <v>1</v>
      </c>
      <c r="H790" s="1">
        <v>6.4351851851851853E-4</v>
      </c>
      <c r="I790">
        <v>2020</v>
      </c>
      <c r="J790" t="s">
        <v>59</v>
      </c>
      <c r="K790" s="2" t="str">
        <f>HYPERLINK("https://www.nba.com/stats/events?CFID=&amp;CFPARAMS=&amp;GameEventID=137&amp;GameID=0022000488&amp;Season=2020-21&amp;flag=1&amp;title=I.%20Zubac%206'%20turnaround%20Hook%20(4%20PTS)%20(K.%20Leonard%201%20AST)", "I. Zubac 6' turnaround Hook (4 PTS) (K. Leonard 1 AST)")</f>
        <v>I. Zubac 6' turnaround Hook (4 PTS) (K. Leonard 1 AST)</v>
      </c>
      <c r="L790" s="2" t="str">
        <f>HYPERLINK("https://www.nba.com/game/...-vs-...-0022000488/play-by-play?watchFullGame=true", "LAC vs WAS - Q1 00:55.60")</f>
        <v>LAC vs WAS - Q1 00:55.60</v>
      </c>
      <c r="M790">
        <v>6.3</v>
      </c>
      <c r="N790">
        <v>88.26</v>
      </c>
      <c r="O790">
        <v>54.97</v>
      </c>
      <c r="P790">
        <v>25</v>
      </c>
      <c r="Q790">
        <v>58</v>
      </c>
      <c r="R790">
        <v>88</v>
      </c>
      <c r="S790">
        <v>54</v>
      </c>
      <c r="T790" t="s">
        <v>58</v>
      </c>
    </row>
    <row r="791" spans="1:20" x14ac:dyDescent="0.25">
      <c r="A791">
        <v>22300486</v>
      </c>
      <c r="B791" t="s">
        <v>4</v>
      </c>
      <c r="C791" t="s">
        <v>9</v>
      </c>
      <c r="D791">
        <v>40</v>
      </c>
      <c r="E791">
        <v>36</v>
      </c>
      <c r="F791">
        <v>4</v>
      </c>
      <c r="G791">
        <v>2</v>
      </c>
      <c r="H791" s="1">
        <v>3.6342592592592594E-3</v>
      </c>
      <c r="I791">
        <v>2023</v>
      </c>
      <c r="J791" t="s">
        <v>59</v>
      </c>
      <c r="K791" s="2" t="str">
        <f>HYPERLINK("https://www.nba.com/stats/events?CFID=&amp;CFPARAMS=&amp;GameEventID=237&amp;GameID=0022300486&amp;Season=2023-24&amp;flag=1&amp;title=N.%20Powell%20driving%20floating%20Jump%20Shot%20(7%20PTS)%20(K.%20Leonard%202%20AST)", "N. Powell driving floating Jump Shot (7 PTS) (K. Leonard 2 AST)")</f>
        <v>N. Powell driving floating Jump Shot (7 PTS) (K. Leonard 2 AST)</v>
      </c>
      <c r="L791" s="2" t="str">
        <f>HYPERLINK("https://www.nba.com/game/...-vs-...-0022300486/play-by-play?watchFullGame=true", "LAC vs NOP - Q2 05:14.00")</f>
        <v>LAC vs NOP - Q2 05:14.00</v>
      </c>
      <c r="M791">
        <v>5.9</v>
      </c>
      <c r="N791">
        <v>88.65</v>
      </c>
      <c r="O791">
        <v>45.34</v>
      </c>
      <c r="P791">
        <v>-23</v>
      </c>
      <c r="Q791">
        <v>54</v>
      </c>
      <c r="R791">
        <v>88</v>
      </c>
      <c r="S791">
        <v>45</v>
      </c>
      <c r="T791" t="s">
        <v>58</v>
      </c>
    </row>
    <row r="792" spans="1:20" x14ac:dyDescent="0.25">
      <c r="A792">
        <v>22400842</v>
      </c>
      <c r="B792" t="s">
        <v>4</v>
      </c>
      <c r="C792" t="s">
        <v>64</v>
      </c>
      <c r="D792">
        <v>67</v>
      </c>
      <c r="E792">
        <v>63</v>
      </c>
      <c r="F792">
        <v>4</v>
      </c>
      <c r="G792">
        <v>3</v>
      </c>
      <c r="H792" s="1">
        <v>6.8634259259259256E-3</v>
      </c>
      <c r="I792">
        <v>2024</v>
      </c>
      <c r="J792" t="s">
        <v>59</v>
      </c>
      <c r="K792" s="2" t="str">
        <f>HYPERLINK("https://www.nba.com/stats/events?CFID=&amp;CFPARAMS=&amp;GameEventID=350&amp;GameID=0022400842&amp;Season=2024-25&amp;flag=1&amp;title=J.%20Harden%206'%20driving%20Layup%20(5%20PTS)%20(K.%20Leonard%203%20AST)", "J. Harden 6' driving Layup (5 PTS) (K. Leonard 3 AST)")</f>
        <v>J. Harden 6' driving Layup (5 PTS) (K. Leonard 3 AST)</v>
      </c>
      <c r="L792" s="2" t="str">
        <f>HYPERLINK("https://www.nba.com/game/...-vs-...-0022400842/play-by-play?watchFullGame=true", "LAC vs CHI - Q3 09:53.00")</f>
        <v>LAC vs CHI - Q3 09:53.00</v>
      </c>
      <c r="M792">
        <v>6.47</v>
      </c>
      <c r="N792">
        <v>88.57</v>
      </c>
      <c r="O792">
        <v>43.18</v>
      </c>
      <c r="P792">
        <v>-34</v>
      </c>
      <c r="Q792">
        <v>55</v>
      </c>
      <c r="R792">
        <v>88</v>
      </c>
      <c r="S792">
        <v>43</v>
      </c>
      <c r="T792" t="s">
        <v>58</v>
      </c>
    </row>
    <row r="793" spans="1:20" x14ac:dyDescent="0.25">
      <c r="A793">
        <v>22000116</v>
      </c>
      <c r="B793" t="s">
        <v>10</v>
      </c>
      <c r="C793" t="s">
        <v>9</v>
      </c>
      <c r="D793">
        <v>106</v>
      </c>
      <c r="E793">
        <v>97</v>
      </c>
      <c r="F793">
        <v>9</v>
      </c>
      <c r="G793">
        <v>4</v>
      </c>
      <c r="H793" s="1">
        <v>2.0601851851851853E-3</v>
      </c>
      <c r="I793">
        <v>2020</v>
      </c>
      <c r="J793" t="s">
        <v>59</v>
      </c>
      <c r="K793" s="2" t="str">
        <f>HYPERLINK("https://www.nba.com/stats/events?CFID=&amp;CFPARAMS=&amp;GameEventID=617&amp;GameID=0022000116&amp;Season=2020-21&amp;flag=1&amp;title=N.%20Batum%203PT%20%20(13%20PTS)%20(K.%20Leonard%204%20AST)", "N. Batum 3PT  (13 PTS) (K. Leonard 4 AST)")</f>
        <v>N. Batum 3PT  (13 PTS) (K. Leonard 4 AST)</v>
      </c>
      <c r="L793" s="2" t="str">
        <f>HYPERLINK("https://www.nba.com/game/...-vs-...-0022000116/play-by-play?watchFullGame=true", "LAC vs GSW - Q4 02:58.00")</f>
        <v>LAC vs GSW - Q4 02:58.00</v>
      </c>
      <c r="M793">
        <v>23.6</v>
      </c>
      <c r="N793">
        <v>88.26</v>
      </c>
      <c r="O793">
        <v>4.24</v>
      </c>
      <c r="P793">
        <v>-229</v>
      </c>
      <c r="Q793">
        <v>58</v>
      </c>
      <c r="R793">
        <v>88</v>
      </c>
      <c r="S793">
        <v>4</v>
      </c>
      <c r="T793" t="s">
        <v>58</v>
      </c>
    </row>
    <row r="794" spans="1:20" x14ac:dyDescent="0.25">
      <c r="A794">
        <v>22000105</v>
      </c>
      <c r="B794" t="s">
        <v>10</v>
      </c>
      <c r="C794" t="s">
        <v>9</v>
      </c>
      <c r="D794">
        <v>78</v>
      </c>
      <c r="E794">
        <v>82</v>
      </c>
      <c r="F794">
        <v>4</v>
      </c>
      <c r="G794">
        <v>3</v>
      </c>
      <c r="H794" s="1">
        <v>9.6064814814814819E-4</v>
      </c>
      <c r="I794">
        <v>2020</v>
      </c>
      <c r="J794" t="s">
        <v>59</v>
      </c>
      <c r="K794" s="2" t="str">
        <f>HYPERLINK("https://www.nba.com/stats/events?CFID=&amp;CFPARAMS=&amp;GameEventID=447&amp;GameID=0022000105&amp;Season=2020-21&amp;flag=1&amp;title=P.%20Patterson%2024'%203PT%20%20(3%20PTS)%20(K.%20Leonard%207%20AST)", "P. Patterson 24' 3PT  (3 PTS) (K. Leonard 7 AST)")</f>
        <v>P. Patterson 24' 3PT  (3 PTS) (K. Leonard 7 AST)</v>
      </c>
      <c r="L794" s="2" t="str">
        <f>HYPERLINK("https://www.nba.com/game/...-vs-...-0022000105/play-by-play?watchFullGame=true", "LAC vs SAS - Q3 01:23.00")</f>
        <v>LAC vs SAS - Q3 01:23.00</v>
      </c>
      <c r="M794">
        <v>24.06</v>
      </c>
      <c r="N794">
        <v>88.65</v>
      </c>
      <c r="O794">
        <v>96.88</v>
      </c>
      <c r="P794">
        <v>234</v>
      </c>
      <c r="Q794">
        <v>54</v>
      </c>
      <c r="R794">
        <v>88</v>
      </c>
      <c r="S794">
        <v>96</v>
      </c>
      <c r="T794" t="s">
        <v>58</v>
      </c>
    </row>
    <row r="795" spans="1:20" x14ac:dyDescent="0.25">
      <c r="A795">
        <v>22200480</v>
      </c>
      <c r="B795" t="s">
        <v>10</v>
      </c>
      <c r="C795" t="s">
        <v>9</v>
      </c>
      <c r="D795">
        <v>58</v>
      </c>
      <c r="E795">
        <v>38</v>
      </c>
      <c r="F795">
        <v>20</v>
      </c>
      <c r="G795">
        <v>2</v>
      </c>
      <c r="H795" s="1">
        <v>2.5115740740740741E-3</v>
      </c>
      <c r="I795">
        <v>2022</v>
      </c>
      <c r="J795" t="s">
        <v>59</v>
      </c>
      <c r="K795" s="2" t="str">
        <f>HYPERLINK("https://www.nba.com/stats/events?CFID=&amp;CFPARAMS=&amp;GameEventID=247&amp;GameID=0022200480&amp;Season=2022-23&amp;flag=1&amp;title=P.%20George%203PT%20%20(15%20PTS)%20(K.%20Leonard%203%20AST)", "P. George 3PT  (15 PTS) (K. Leonard 3 AST)")</f>
        <v>P. George 3PT  (15 PTS) (K. Leonard 3 AST)</v>
      </c>
      <c r="L795" s="2" t="str">
        <f>HYPERLINK("https://www.nba.com/game/...-vs-...-0022200480/play-by-play?watchFullGame=true", "LAC vs PHI - Q2 03:37.00")</f>
        <v>LAC vs PHI - Q2 03:37.00</v>
      </c>
      <c r="M795">
        <v>23.56</v>
      </c>
      <c r="N795">
        <v>88.62</v>
      </c>
      <c r="O795">
        <v>95.83</v>
      </c>
      <c r="P795">
        <v>229</v>
      </c>
      <c r="Q795">
        <v>55</v>
      </c>
      <c r="R795">
        <v>88</v>
      </c>
      <c r="S795">
        <v>95</v>
      </c>
      <c r="T795" t="s">
        <v>58</v>
      </c>
    </row>
    <row r="796" spans="1:20" x14ac:dyDescent="0.25">
      <c r="A796">
        <v>22301003</v>
      </c>
      <c r="B796" t="s">
        <v>4</v>
      </c>
      <c r="C796" t="s">
        <v>70</v>
      </c>
      <c r="D796">
        <v>55</v>
      </c>
      <c r="E796">
        <v>46</v>
      </c>
      <c r="F796">
        <v>9</v>
      </c>
      <c r="G796">
        <v>2</v>
      </c>
      <c r="H796" s="1">
        <v>1.1921296296296296E-3</v>
      </c>
      <c r="I796">
        <v>2023</v>
      </c>
      <c r="J796" t="s">
        <v>59</v>
      </c>
      <c r="K796" s="2" t="str">
        <f>HYPERLINK("https://www.nba.com/stats/events?CFID=&amp;CFPARAMS=&amp;GameEventID=245&amp;GameID=0022301003&amp;Season=2023-24&amp;flag=1&amp;title=I.%20Zubac%20turnaround%20Hook%20(10%20PTS)%20(K.%20Leonard%201%20AST)", "I. Zubac turnaround Hook (10 PTS) (K. Leonard 1 AST)")</f>
        <v>I. Zubac turnaround Hook (10 PTS) (K. Leonard 1 AST)</v>
      </c>
      <c r="L796" s="2" t="str">
        <f>HYPERLINK("https://www.nba.com/game/...-vs-...-0022301003/play-by-play?watchFullGame=true", "LAC vs POR - Q2 01:43.00")</f>
        <v>LAC vs POR - Q2 01:43.00</v>
      </c>
      <c r="M796">
        <v>5.91</v>
      </c>
      <c r="N796">
        <v>88.12</v>
      </c>
      <c r="O796">
        <v>50</v>
      </c>
      <c r="P796">
        <v>88</v>
      </c>
      <c r="Q796">
        <v>59</v>
      </c>
      <c r="R796">
        <v>88</v>
      </c>
      <c r="S796">
        <v>50</v>
      </c>
      <c r="T796" t="s">
        <v>58</v>
      </c>
    </row>
    <row r="797" spans="1:20" x14ac:dyDescent="0.25">
      <c r="A797">
        <v>22000457</v>
      </c>
      <c r="B797" t="s">
        <v>4</v>
      </c>
      <c r="C797" t="s">
        <v>9</v>
      </c>
      <c r="D797">
        <v>75</v>
      </c>
      <c r="E797">
        <v>73</v>
      </c>
      <c r="F797">
        <v>2</v>
      </c>
      <c r="G797">
        <v>3</v>
      </c>
      <c r="H797" s="1">
        <v>1.3194444444444445E-3</v>
      </c>
      <c r="I797">
        <v>2020</v>
      </c>
      <c r="J797" t="s">
        <v>59</v>
      </c>
      <c r="K797" s="2" t="str">
        <f>HYPERLINK("https://www.nba.com/stats/events?CFID=&amp;CFPARAMS=&amp;GameEventID=427&amp;GameID=0022000457&amp;Season=2020-21&amp;flag=1&amp;title=L.%20Williams%2014'%20fadeaway%20Jump%20Shot%20(17%20PTS)%20(K.%20Leonard%204%20AST)", "L. Williams 14' fadeaway Jump Shot (17 PTS) (K. Leonard 4 AST)")</f>
        <v>L. Williams 14' fadeaway Jump Shot (17 PTS) (K. Leonard 4 AST)</v>
      </c>
      <c r="L797" s="2" t="str">
        <f>HYPERLINK("https://www.nba.com/game/...-vs-...-0022000457/play-by-play?watchFullGame=true", "LAC vs UTA - Q3 01:54.00")</f>
        <v>LAC vs UTA - Q3 01:54.00</v>
      </c>
      <c r="M797">
        <v>14.19</v>
      </c>
      <c r="N797">
        <v>88.26</v>
      </c>
      <c r="O797">
        <v>24.09</v>
      </c>
      <c r="P797">
        <v>-130</v>
      </c>
      <c r="Q797">
        <v>58</v>
      </c>
      <c r="R797">
        <v>88</v>
      </c>
      <c r="S797">
        <v>24</v>
      </c>
      <c r="T797" t="s">
        <v>58</v>
      </c>
    </row>
    <row r="798" spans="1:20" x14ac:dyDescent="0.25">
      <c r="A798">
        <v>22300099</v>
      </c>
      <c r="B798" t="s">
        <v>10</v>
      </c>
      <c r="C798" t="s">
        <v>9</v>
      </c>
      <c r="D798">
        <v>41</v>
      </c>
      <c r="E798">
        <v>23</v>
      </c>
      <c r="F798">
        <v>18</v>
      </c>
      <c r="G798">
        <v>2</v>
      </c>
      <c r="H798" s="1">
        <v>4.0162037037037041E-3</v>
      </c>
      <c r="I798">
        <v>2023</v>
      </c>
      <c r="J798" t="s">
        <v>59</v>
      </c>
      <c r="K798" s="2" t="str">
        <f>HYPERLINK("https://www.nba.com/stats/events?CFID=&amp;CFPARAMS=&amp;GameEventID=271&amp;GameID=0022300099&amp;Season=2023-24&amp;flag=1&amp;title=R.%20Westbrook%203PT%20%20(5%20PTS)%20(K.%20Leonard%203%20AST)", "R. Westbrook 3PT  (5 PTS) (K. Leonard 3 AST)")</f>
        <v>R. Westbrook 3PT  (5 PTS) (K. Leonard 3 AST)</v>
      </c>
      <c r="L798" s="2" t="str">
        <f>HYPERLINK("https://www.nba.com/game/...-vs-...-0022300099/play-by-play?watchFullGame=true", "LAC vs SAS - Q2 05:47.00")</f>
        <v>LAC vs SAS - Q2 05:47.00</v>
      </c>
      <c r="M798">
        <v>23.4</v>
      </c>
      <c r="N798">
        <v>88.75</v>
      </c>
      <c r="O798">
        <v>95.59</v>
      </c>
      <c r="P798">
        <v>228</v>
      </c>
      <c r="Q798">
        <v>53</v>
      </c>
      <c r="R798">
        <v>88</v>
      </c>
      <c r="S798">
        <v>95</v>
      </c>
      <c r="T798" t="s">
        <v>58</v>
      </c>
    </row>
    <row r="799" spans="1:20" x14ac:dyDescent="0.25">
      <c r="A799">
        <v>22000116</v>
      </c>
      <c r="B799" t="s">
        <v>10</v>
      </c>
      <c r="C799" t="s">
        <v>9</v>
      </c>
      <c r="D799">
        <v>103</v>
      </c>
      <c r="E799">
        <v>97</v>
      </c>
      <c r="F799">
        <v>6</v>
      </c>
      <c r="G799">
        <v>4</v>
      </c>
      <c r="H799" s="1">
        <v>2.4652777777777776E-3</v>
      </c>
      <c r="I799">
        <v>2020</v>
      </c>
      <c r="J799" t="s">
        <v>59</v>
      </c>
      <c r="K799" s="2" t="str">
        <f>HYPERLINK("https://www.nba.com/stats/events?CFID=&amp;CFPARAMS=&amp;GameEventID=612&amp;GameID=0022000116&amp;Season=2020-21&amp;flag=1&amp;title=N.%20Batum%203PT%20%20(10%20PTS)%20(K.%20Leonard%203%20AST)", "N. Batum 3PT  (10 PTS) (K. Leonard 3 AST)")</f>
        <v>N. Batum 3PT  (10 PTS) (K. Leonard 3 AST)</v>
      </c>
      <c r="L799" s="2" t="str">
        <f>HYPERLINK("https://www.nba.com/game/...-vs-...-0022000116/play-by-play?watchFullGame=true", "LAC vs GSW - Q4 03:33.00")</f>
        <v>LAC vs GSW - Q4 03:33.00</v>
      </c>
      <c r="M799">
        <v>22.98</v>
      </c>
      <c r="N799">
        <v>88.91</v>
      </c>
      <c r="O799">
        <v>5.22</v>
      </c>
      <c r="P799">
        <v>-224</v>
      </c>
      <c r="Q799">
        <v>52</v>
      </c>
      <c r="R799">
        <v>88</v>
      </c>
      <c r="S799">
        <v>5</v>
      </c>
      <c r="T799" t="s">
        <v>58</v>
      </c>
    </row>
    <row r="800" spans="1:20" x14ac:dyDescent="0.25">
      <c r="A800">
        <v>41900156</v>
      </c>
      <c r="B800" t="s">
        <v>10</v>
      </c>
      <c r="C800" t="s">
        <v>61</v>
      </c>
      <c r="D800">
        <v>74</v>
      </c>
      <c r="E800">
        <v>54</v>
      </c>
      <c r="F800">
        <v>20</v>
      </c>
      <c r="G800">
        <v>3</v>
      </c>
      <c r="H800" s="1">
        <v>4.7222222222222223E-3</v>
      </c>
      <c r="I800" t="s">
        <v>68</v>
      </c>
      <c r="J800" t="s">
        <v>59</v>
      </c>
      <c r="K800" s="2" t="str">
        <f>HYPERLINK("https://www.nba.com/stats/events?CFID=&amp;CFPARAMS=&amp;GameEventID=382&amp;GameID=0041900156&amp;Season=2019-20&amp;flag=1&amp;title=L.%20Shamet%2024'%203PT%20%20(6%20PTS)%20(K.%20Leonard%206%20AST)", "L. Shamet 24' 3PT  (6 PTS) (K. Leonard 6 AST)")</f>
        <v>L. Shamet 24' 3PT  (6 PTS) (K. Leonard 6 AST)</v>
      </c>
      <c r="L800" s="2" t="str">
        <f>HYPERLINK("https://www.nba.com/game/...-vs-...-0041900156/play-by-play?watchFullGame=true", "LAC vs DAL - Q3 06:48.00")</f>
        <v>LAC vs DAL - Q3 06:48.00</v>
      </c>
      <c r="M800">
        <v>23.94</v>
      </c>
      <c r="N800">
        <v>88.91</v>
      </c>
      <c r="O800">
        <v>3.5</v>
      </c>
      <c r="P800">
        <v>-232</v>
      </c>
      <c r="Q800">
        <v>52</v>
      </c>
      <c r="R800">
        <v>88</v>
      </c>
      <c r="S800">
        <v>3</v>
      </c>
      <c r="T800" t="s">
        <v>58</v>
      </c>
    </row>
    <row r="801" spans="1:20" x14ac:dyDescent="0.25">
      <c r="A801">
        <v>22000142</v>
      </c>
      <c r="B801" t="s">
        <v>4</v>
      </c>
      <c r="C801" t="s">
        <v>70</v>
      </c>
      <c r="D801">
        <v>64</v>
      </c>
      <c r="E801">
        <v>69</v>
      </c>
      <c r="F801">
        <v>5</v>
      </c>
      <c r="G801">
        <v>3</v>
      </c>
      <c r="H801" s="1">
        <v>6.5277777777777782E-3</v>
      </c>
      <c r="I801">
        <v>2020</v>
      </c>
      <c r="J801" t="s">
        <v>59</v>
      </c>
      <c r="K801" s="2" t="str">
        <f>HYPERLINK("https://www.nba.com/stats/events?CFID=&amp;CFPARAMS=&amp;GameEventID=352&amp;GameID=0022000142&amp;Season=2020-21&amp;flag=1&amp;title=Ibaka%20Hook%20(6%20PTS)%20(K.%20Leonard%203%20AST)", "S. Ibaka Hook (6 PTS) (K. Leonard 3 AST)")</f>
        <v>S. Ibaka Hook (6 PTS) (K. Leonard 3 AST)</v>
      </c>
      <c r="L801" s="2" t="str">
        <f>HYPERLINK("https://www.nba.com/game/...-vs-...-0022000142/play-by-play?watchFullGame=true", "LAC vs CHI - Q3 09:24.00")</f>
        <v>LAC vs CHI - Q3 09:24.00</v>
      </c>
      <c r="M801">
        <v>5.17</v>
      </c>
      <c r="N801">
        <v>88.91</v>
      </c>
      <c r="O801">
        <v>49.82</v>
      </c>
      <c r="P801">
        <v>-1</v>
      </c>
      <c r="Q801">
        <v>52</v>
      </c>
      <c r="R801">
        <v>88</v>
      </c>
      <c r="S801">
        <v>49</v>
      </c>
      <c r="T801" t="s">
        <v>58</v>
      </c>
    </row>
    <row r="802" spans="1:20" x14ac:dyDescent="0.25">
      <c r="A802">
        <v>22300099</v>
      </c>
      <c r="B802" t="s">
        <v>4</v>
      </c>
      <c r="C802" t="s">
        <v>9</v>
      </c>
      <c r="D802">
        <v>38</v>
      </c>
      <c r="E802">
        <v>23</v>
      </c>
      <c r="F802">
        <v>15</v>
      </c>
      <c r="G802">
        <v>2</v>
      </c>
      <c r="H802" s="1">
        <v>4.2129629629629626E-3</v>
      </c>
      <c r="I802">
        <v>2023</v>
      </c>
      <c r="J802" t="s">
        <v>59</v>
      </c>
      <c r="K802" s="2" t="str">
        <f>HYPERLINK("https://www.nba.com/stats/events?CFID=&amp;CFPARAMS=&amp;GameEventID=266&amp;GameID=0022300099&amp;Season=2023-24&amp;flag=1&amp;title=I.%20Zubac%20floating%20Jump%20Shot%20(8%20PTS)%20(K.%20Leonard%202%20AST)", "I. Zubac floating Jump Shot (8 PTS) (K. Leonard 2 AST)")</f>
        <v>I. Zubac floating Jump Shot (8 PTS) (K. Leonard 2 AST)</v>
      </c>
      <c r="L802" s="2" t="str">
        <f>HYPERLINK("https://www.nba.com/game/...-vs-...-0022300099/play-by-play?watchFullGame=true", "LAC vs SAS - Q2 06:04.00")</f>
        <v>LAC vs SAS - Q2 06:04.00</v>
      </c>
      <c r="M802">
        <v>5.97</v>
      </c>
      <c r="N802">
        <v>88.75</v>
      </c>
      <c r="O802">
        <v>44.61</v>
      </c>
      <c r="P802">
        <v>-27</v>
      </c>
      <c r="Q802">
        <v>53</v>
      </c>
      <c r="R802">
        <v>88</v>
      </c>
      <c r="S802">
        <v>44</v>
      </c>
      <c r="T802" t="s">
        <v>58</v>
      </c>
    </row>
    <row r="803" spans="1:20" x14ac:dyDescent="0.25">
      <c r="A803">
        <v>22300458</v>
      </c>
      <c r="B803" t="s">
        <v>10</v>
      </c>
      <c r="C803" t="s">
        <v>9</v>
      </c>
      <c r="D803">
        <v>46</v>
      </c>
      <c r="E803">
        <v>48</v>
      </c>
      <c r="F803">
        <v>2</v>
      </c>
      <c r="G803">
        <v>2</v>
      </c>
      <c r="H803" s="1">
        <v>3.1365740740740742E-3</v>
      </c>
      <c r="I803">
        <v>2023</v>
      </c>
      <c r="J803" t="s">
        <v>59</v>
      </c>
      <c r="K803" s="2" t="str">
        <f>HYPERLINK("https://www.nba.com/stats/events?CFID=&amp;CFPARAMS=&amp;GameEventID=240&amp;GameID=0022300458&amp;Season=2023-24&amp;flag=1&amp;title=N.%20Powell%203PT%20%20(11%20PTS)%20(K.%20Leonard%202%20AST)", "N. Powell 3PT  (11 PTS) (K. Leonard 2 AST)")</f>
        <v>N. Powell 3PT  (11 PTS) (K. Leonard 2 AST)</v>
      </c>
      <c r="L803" s="2" t="str">
        <f>HYPERLINK("https://www.nba.com/game/...-vs-...-0022300458/play-by-play?watchFullGame=true", "LAC vs MIA - Q2 04:31.00")</f>
        <v>LAC vs MIA - Q2 04:31.00</v>
      </c>
      <c r="M803">
        <v>23.65</v>
      </c>
      <c r="N803">
        <v>88.75</v>
      </c>
      <c r="O803">
        <v>96.08</v>
      </c>
      <c r="P803">
        <v>230</v>
      </c>
      <c r="Q803">
        <v>53</v>
      </c>
      <c r="R803">
        <v>88</v>
      </c>
      <c r="S803">
        <v>96</v>
      </c>
      <c r="T803" t="s">
        <v>58</v>
      </c>
    </row>
    <row r="804" spans="1:20" x14ac:dyDescent="0.25">
      <c r="A804">
        <v>22001047</v>
      </c>
      <c r="B804" t="s">
        <v>4</v>
      </c>
      <c r="C804" t="s">
        <v>70</v>
      </c>
      <c r="D804">
        <v>63</v>
      </c>
      <c r="E804">
        <v>60</v>
      </c>
      <c r="F804">
        <v>3</v>
      </c>
      <c r="G804">
        <v>3</v>
      </c>
      <c r="H804" s="1">
        <v>4.2708333333333331E-3</v>
      </c>
      <c r="I804">
        <v>2020</v>
      </c>
      <c r="J804" t="s">
        <v>59</v>
      </c>
      <c r="K804" s="2" t="str">
        <f>HYPERLINK("https://www.nba.com/stats/events?CFID=&amp;CFPARAMS=&amp;GameEventID=358&amp;GameID=0022001047&amp;Season=2020-21&amp;flag=1&amp;title=I.%20Zubac%20Hook%20(8%20PTS)%20(K.%20Leonard%208%20AST)", "I. Zubac Hook (8 PTS) (K. Leonard 8 AST)")</f>
        <v>I. Zubac Hook (8 PTS) (K. Leonard 8 AST)</v>
      </c>
      <c r="L804" s="2" t="str">
        <f>HYPERLINK("https://www.nba.com/game/...-vs-...-0022001047/play-by-play?watchFullGame=true", "LAC vs CHA - Q3 06:09.00")</f>
        <v>LAC vs CHA - Q3 06:09.00</v>
      </c>
      <c r="M804">
        <v>5.87</v>
      </c>
      <c r="N804">
        <v>88.91</v>
      </c>
      <c r="O804">
        <v>44.43</v>
      </c>
      <c r="P804">
        <v>-28</v>
      </c>
      <c r="Q804">
        <v>52</v>
      </c>
      <c r="R804">
        <v>88</v>
      </c>
      <c r="S804">
        <v>44</v>
      </c>
      <c r="T804" t="s">
        <v>58</v>
      </c>
    </row>
    <row r="805" spans="1:20" x14ac:dyDescent="0.25">
      <c r="A805">
        <v>42000172</v>
      </c>
      <c r="B805" t="s">
        <v>10</v>
      </c>
      <c r="C805" t="s">
        <v>9</v>
      </c>
      <c r="D805">
        <v>31</v>
      </c>
      <c r="E805">
        <v>33</v>
      </c>
      <c r="F805">
        <v>2</v>
      </c>
      <c r="G805">
        <v>1</v>
      </c>
      <c r="H805" s="1">
        <v>8.9120370370370373E-4</v>
      </c>
      <c r="I805" t="s">
        <v>66</v>
      </c>
      <c r="J805" t="s">
        <v>59</v>
      </c>
      <c r="K805" s="2" t="str">
        <f>HYPERLINK("https://www.nba.com/stats/events?CFID=&amp;CFPARAMS=&amp;GameEventID=125&amp;GameID=0042000172&amp;Season=2020-21&amp;flag=1&amp;title=N.%20Batum%2024'%203PT%20%20(3%20PTS)%20(K.%20Leonard%201%20AST)", "N. Batum 24' 3PT  (3 PTS) (K. Leonard 1 AST)")</f>
        <v>N. Batum 24' 3PT  (3 PTS) (K. Leonard 1 AST)</v>
      </c>
      <c r="L805" s="2" t="str">
        <f>HYPERLINK("https://www.nba.com/game/...-vs-...-0042000172/play-by-play?watchFullGame=true", "LAC vs DAL - Q1 01:17.00")</f>
        <v>LAC vs DAL - Q1 01:17.00</v>
      </c>
      <c r="M805">
        <v>24.36</v>
      </c>
      <c r="N805">
        <v>88.39</v>
      </c>
      <c r="O805">
        <v>97.37</v>
      </c>
      <c r="P805">
        <v>88</v>
      </c>
      <c r="Q805">
        <v>97</v>
      </c>
      <c r="R805">
        <v>88</v>
      </c>
      <c r="S805">
        <v>97</v>
      </c>
      <c r="T805" t="s">
        <v>58</v>
      </c>
    </row>
    <row r="806" spans="1:20" x14ac:dyDescent="0.25">
      <c r="A806">
        <v>22400659</v>
      </c>
      <c r="B806" t="s">
        <v>4</v>
      </c>
      <c r="C806" t="s">
        <v>70</v>
      </c>
      <c r="D806">
        <v>13</v>
      </c>
      <c r="E806">
        <v>13</v>
      </c>
      <c r="F806">
        <v>0</v>
      </c>
      <c r="G806">
        <v>1</v>
      </c>
      <c r="H806" s="1">
        <v>5.5902777777777773E-3</v>
      </c>
      <c r="I806">
        <v>2024</v>
      </c>
      <c r="J806" t="s">
        <v>59</v>
      </c>
      <c r="K806" s="2" t="str">
        <f>HYPERLINK("https://www.nba.com/stats/events?CFID=&amp;CFPARAMS=&amp;GameEventID=32&amp;GameID=0022400659&amp;Season=2024-25&amp;flag=1&amp;title=I.%20Zubac%20turnaround%20Hook%20(6%20PTS)%20(K.%20Leonard%202%20AST)", "I. Zubac turnaround Hook (6 PTS) (K. Leonard 2 AST)")</f>
        <v>I. Zubac turnaround Hook (6 PTS) (K. Leonard 2 AST)</v>
      </c>
      <c r="L806" s="2" t="str">
        <f>HYPERLINK("https://www.nba.com/game/...-vs-...-0022400659/play-by-play?watchFullGame=true", "LAC vs PHX - Q1 08:03.00")</f>
        <v>LAC vs PHX - Q1 08:03.00</v>
      </c>
      <c r="M806">
        <v>5.55</v>
      </c>
      <c r="N806">
        <v>88.52</v>
      </c>
      <c r="O806">
        <v>49.26</v>
      </c>
      <c r="P806">
        <v>-4</v>
      </c>
      <c r="Q806">
        <v>55</v>
      </c>
      <c r="R806">
        <v>88</v>
      </c>
      <c r="S806">
        <v>49</v>
      </c>
      <c r="T806" t="s">
        <v>58</v>
      </c>
    </row>
    <row r="807" spans="1:20" x14ac:dyDescent="0.25">
      <c r="A807">
        <v>41900156</v>
      </c>
      <c r="B807" t="s">
        <v>4</v>
      </c>
      <c r="C807" t="s">
        <v>60</v>
      </c>
      <c r="D807">
        <v>69</v>
      </c>
      <c r="E807">
        <v>52</v>
      </c>
      <c r="F807">
        <v>17</v>
      </c>
      <c r="G807">
        <v>3</v>
      </c>
      <c r="H807" s="1">
        <v>5.324074074074074E-3</v>
      </c>
      <c r="I807" t="s">
        <v>68</v>
      </c>
      <c r="J807" t="s">
        <v>59</v>
      </c>
      <c r="K807" s="2" t="str">
        <f>HYPERLINK("https://www.nba.com/stats/events?CFID=&amp;CFPARAMS=&amp;GameEventID=376&amp;GameID=0041900156&amp;Season=2019-20&amp;flag=1&amp;title=I.%20Zubac%207'%20hook%20(10%20PTS)%20(K.%20Leonard%205%20AST)", "I. Zubac 7' hook (10 PTS) (K. Leonard 5 AST)")</f>
        <v>I. Zubac 7' hook (10 PTS) (K. Leonard 5 AST)</v>
      </c>
      <c r="L807" s="2" t="str">
        <f>HYPERLINK("https://www.nba.com/game/...-vs-...-0041900156/play-by-play?watchFullGame=true", "LAC vs DAL - Q3 07:40.00")</f>
        <v>LAC vs DAL - Q3 07:40.00</v>
      </c>
      <c r="M807">
        <v>6.61</v>
      </c>
      <c r="N807">
        <v>88.12</v>
      </c>
      <c r="O807">
        <v>52.77</v>
      </c>
      <c r="P807">
        <v>14</v>
      </c>
      <c r="Q807">
        <v>59</v>
      </c>
      <c r="R807">
        <v>88</v>
      </c>
      <c r="S807">
        <v>52</v>
      </c>
      <c r="T807" t="s">
        <v>58</v>
      </c>
    </row>
    <row r="808" spans="1:20" x14ac:dyDescent="0.25">
      <c r="A808">
        <v>22000009</v>
      </c>
      <c r="B808" t="s">
        <v>4</v>
      </c>
      <c r="C808" t="s">
        <v>9</v>
      </c>
      <c r="D808">
        <v>104</v>
      </c>
      <c r="E808">
        <v>90</v>
      </c>
      <c r="F808">
        <v>14</v>
      </c>
      <c r="G808">
        <v>4</v>
      </c>
      <c r="H808" s="1">
        <v>5.9143518518518521E-3</v>
      </c>
      <c r="I808">
        <v>2020</v>
      </c>
      <c r="J808" t="s">
        <v>59</v>
      </c>
      <c r="K808" s="2" t="str">
        <f>HYPERLINK("https://www.nba.com/stats/events?CFID=&amp;CFPARAMS=&amp;GameEventID=612&amp;GameID=0022000009&amp;Season=2020-21&amp;flag=1&amp;title=Ibaka%206'%20Jump%20Shot%20(10%20PTS)%20(K.%20Leonard%207%20AST)", "S. Ibaka 6' Jump Shot (10 PTS) (K. Leonard 7 AST)")</f>
        <v>S. Ibaka 6' Jump Shot (10 PTS) (K. Leonard 7 AST)</v>
      </c>
      <c r="L808" s="2" t="str">
        <f>HYPERLINK("https://www.nba.com/game/...-vs-...-0022000009/play-by-play?watchFullGame=true", "LAC vs DEN - Q4 08:31.00")</f>
        <v>LAC vs DEN - Q4 08:31.00</v>
      </c>
      <c r="M808">
        <v>6.89</v>
      </c>
      <c r="N808">
        <v>89.18</v>
      </c>
      <c r="O808">
        <v>59.63</v>
      </c>
      <c r="P808">
        <v>48</v>
      </c>
      <c r="Q808">
        <v>49</v>
      </c>
      <c r="R808">
        <v>89</v>
      </c>
      <c r="S808">
        <v>59</v>
      </c>
      <c r="T808" t="s">
        <v>58</v>
      </c>
    </row>
    <row r="809" spans="1:20" x14ac:dyDescent="0.25">
      <c r="A809">
        <v>22000350</v>
      </c>
      <c r="B809" t="s">
        <v>10</v>
      </c>
      <c r="C809" t="s">
        <v>9</v>
      </c>
      <c r="D809">
        <v>112</v>
      </c>
      <c r="E809">
        <v>111</v>
      </c>
      <c r="F809">
        <v>1</v>
      </c>
      <c r="G809">
        <v>4</v>
      </c>
      <c r="H809" s="1">
        <v>5.3356481481481484E-4</v>
      </c>
      <c r="I809">
        <v>2020</v>
      </c>
      <c r="J809" t="s">
        <v>59</v>
      </c>
      <c r="K809" s="2" t="str">
        <f>HYPERLINK("https://www.nba.com/stats/events?CFID=&amp;CFPARAMS=&amp;GameEventID=598&amp;GameID=0022000350&amp;Season=2020-21&amp;flag=1&amp;title=L.%20Williams%2024'%203PT%20%20(15%20PTS)%20(K.%20Leonard%205%20AST)", "L. Williams 24' 3PT  (15 PTS) (K. Leonard 5 AST)")</f>
        <v>L. Williams 24' 3PT  (15 PTS) (K. Leonard 5 AST)</v>
      </c>
      <c r="L809" s="2" t="str">
        <f>HYPERLINK("https://www.nba.com/game/...-vs-...-0022000350/play-by-play?watchFullGame=true", "LAC vs BOS - Q4 00:46.10")</f>
        <v>LAC vs BOS - Q4 00:46.10</v>
      </c>
      <c r="M809">
        <v>24.27</v>
      </c>
      <c r="N809">
        <v>89.7</v>
      </c>
      <c r="O809">
        <v>2.27</v>
      </c>
      <c r="P809">
        <v>-239</v>
      </c>
      <c r="Q809">
        <v>44</v>
      </c>
      <c r="R809">
        <v>89</v>
      </c>
      <c r="S809">
        <v>2</v>
      </c>
      <c r="T809" t="s">
        <v>58</v>
      </c>
    </row>
    <row r="810" spans="1:20" x14ac:dyDescent="0.25">
      <c r="A810">
        <v>22000188</v>
      </c>
      <c r="B810" t="s">
        <v>4</v>
      </c>
      <c r="C810" t="s">
        <v>70</v>
      </c>
      <c r="D810">
        <v>28</v>
      </c>
      <c r="E810">
        <v>25</v>
      </c>
      <c r="F810">
        <v>3</v>
      </c>
      <c r="G810">
        <v>1</v>
      </c>
      <c r="H810" s="1">
        <v>1.4814814814814814E-3</v>
      </c>
      <c r="I810">
        <v>2020</v>
      </c>
      <c r="J810" t="s">
        <v>59</v>
      </c>
      <c r="K810" s="2" t="str">
        <f>HYPERLINK("https://www.nba.com/stats/events?CFID=&amp;CFPARAMS=&amp;GameEventID=123&amp;GameID=0022000188&amp;Season=2020-21&amp;flag=1&amp;title=L.%20Kennard%20Hook%20(2%20PTS)%20(K.%20Leonard%202%20AST)", "L. Kennard Hook (2 PTS) (K. Leonard 2 AST)")</f>
        <v>L. Kennard Hook (2 PTS) (K. Leonard 2 AST)</v>
      </c>
      <c r="L810" s="2" t="str">
        <f>HYPERLINK("https://www.nba.com/game/...-vs-...-0022000188/play-by-play?watchFullGame=true", "LAC vs SAC - Q1 02:08.00")</f>
        <v>LAC vs SAC - Q1 02:08.00</v>
      </c>
      <c r="M810">
        <v>5.22</v>
      </c>
      <c r="N810">
        <v>89.31</v>
      </c>
      <c r="O810">
        <v>45.9</v>
      </c>
      <c r="P810">
        <v>-20</v>
      </c>
      <c r="Q810">
        <v>48</v>
      </c>
      <c r="R810">
        <v>89</v>
      </c>
      <c r="S810">
        <v>45</v>
      </c>
      <c r="T810" t="s">
        <v>58</v>
      </c>
    </row>
    <row r="811" spans="1:20" x14ac:dyDescent="0.25">
      <c r="A811">
        <v>21900239</v>
      </c>
      <c r="B811" t="s">
        <v>4</v>
      </c>
      <c r="C811" t="s">
        <v>60</v>
      </c>
      <c r="D811">
        <v>2</v>
      </c>
      <c r="E811">
        <v>0</v>
      </c>
      <c r="F811">
        <v>2</v>
      </c>
      <c r="G811">
        <v>1</v>
      </c>
      <c r="H811" s="1">
        <v>7.9745370370370369E-3</v>
      </c>
      <c r="I811">
        <v>2019</v>
      </c>
      <c r="J811" t="s">
        <v>59</v>
      </c>
      <c r="K811" s="2" t="str">
        <f>HYPERLINK("https://www.nba.com/stats/events?CFID=&amp;CFPARAMS=&amp;GameEventID=10&amp;GameID=0021900239&amp;Season=2019-20&amp;flag=1&amp;title=I.%20Zubac%20hook%20(2%20PTS)%20(K.%20Leonard%201%20AST)", "I. Zubac hook (2 PTS) (K. Leonard 1 AST)")</f>
        <v>I. Zubac hook (2 PTS) (K. Leonard 1 AST)</v>
      </c>
      <c r="L811" s="2" t="str">
        <f>HYPERLINK("https://www.nba.com/game/...-vs-...-0021900239/play-by-play?watchFullGame=true", "LAC vs NOP - Q1 11:29.00")</f>
        <v>LAC vs NOP - Q1 11:29.00</v>
      </c>
      <c r="M811">
        <v>5.4</v>
      </c>
      <c r="N811">
        <v>89.27</v>
      </c>
      <c r="O811">
        <v>50.91</v>
      </c>
      <c r="P811">
        <v>5</v>
      </c>
      <c r="Q811">
        <v>48</v>
      </c>
      <c r="R811">
        <v>89</v>
      </c>
      <c r="S811">
        <v>50</v>
      </c>
      <c r="T811" t="s">
        <v>58</v>
      </c>
    </row>
    <row r="812" spans="1:20" x14ac:dyDescent="0.25">
      <c r="A812">
        <v>22000251</v>
      </c>
      <c r="B812" t="s">
        <v>10</v>
      </c>
      <c r="C812" t="s">
        <v>9</v>
      </c>
      <c r="D812">
        <v>32</v>
      </c>
      <c r="E812">
        <v>19</v>
      </c>
      <c r="F812">
        <v>13</v>
      </c>
      <c r="G812">
        <v>1</v>
      </c>
      <c r="H812" s="1">
        <v>8.6805555555555551E-4</v>
      </c>
      <c r="I812">
        <v>2020</v>
      </c>
      <c r="J812" t="s">
        <v>59</v>
      </c>
      <c r="K812" s="2" t="str">
        <f>HYPERLINK("https://www.nba.com/stats/events?CFID=&amp;CFPARAMS=&amp;GameEventID=141&amp;GameID=0022000251&amp;Season=2020-21&amp;flag=1&amp;title=L.%20Kennard%203PT%20%20(3%20PTS)%20(K.%20Leonard%202%20AST)", "L. Kennard 3PT  (3 PTS) (K. Leonard 2 AST)")</f>
        <v>L. Kennard 3PT  (3 PTS) (K. Leonard 2 AST)</v>
      </c>
      <c r="L812" s="2" t="str">
        <f>HYPERLINK("https://www.nba.com/game/...-vs-...-0022000251/play-by-play?watchFullGame=true", "LAC vs OKC - Q1 01:15.00")</f>
        <v>LAC vs OKC - Q1 01:15.00</v>
      </c>
      <c r="M812">
        <v>23.52</v>
      </c>
      <c r="N812">
        <v>89.18</v>
      </c>
      <c r="O812">
        <v>3.99</v>
      </c>
      <c r="P812">
        <v>-230</v>
      </c>
      <c r="Q812">
        <v>49</v>
      </c>
      <c r="R812">
        <v>89</v>
      </c>
      <c r="S812">
        <v>3</v>
      </c>
      <c r="T812" t="s">
        <v>58</v>
      </c>
    </row>
    <row r="813" spans="1:20" x14ac:dyDescent="0.25">
      <c r="A813">
        <v>21900016</v>
      </c>
      <c r="B813" t="s">
        <v>10</v>
      </c>
      <c r="C813" t="s">
        <v>61</v>
      </c>
      <c r="D813">
        <v>71</v>
      </c>
      <c r="E813">
        <v>56</v>
      </c>
      <c r="F813">
        <v>15</v>
      </c>
      <c r="G813">
        <v>3</v>
      </c>
      <c r="H813" s="1">
        <v>7.5462962962962966E-3</v>
      </c>
      <c r="I813">
        <v>2019</v>
      </c>
      <c r="J813" t="s">
        <v>59</v>
      </c>
      <c r="K813" s="2" t="str">
        <f>HYPERLINK("https://www.nba.com/stats/events?CFID=&amp;CFPARAMS=&amp;GameEventID=394&amp;GameID=0021900016&amp;Season=2019-20&amp;flag=1&amp;title=[LAC]%20Shamet%203pt%20shot:%20Made%20(6%20PTS)%20assist:%20Leonard%20(7%20AST)", "[LAC] Shamet 3pt shot: Made (6 PTS) assist: Leonard (7 AST)")</f>
        <v>[LAC] Shamet 3pt shot: Made (6 PTS) assist: Leonard (7 AST)</v>
      </c>
      <c r="L813" s="2" t="str">
        <f>HYPERLINK("https://www.nba.com/game/...-vs-...-0021900016/play-by-play?watchFullGame=true", "LAC vs GSW - Q3 10:52.00")</f>
        <v>LAC vs GSW - Q3 10:52.00</v>
      </c>
      <c r="M813">
        <v>23.64</v>
      </c>
      <c r="N813">
        <v>89.18</v>
      </c>
      <c r="O813">
        <v>3.99</v>
      </c>
      <c r="P813">
        <v>-230</v>
      </c>
      <c r="Q813">
        <v>49</v>
      </c>
      <c r="R813">
        <v>89</v>
      </c>
      <c r="S813">
        <v>3</v>
      </c>
      <c r="T813" t="s">
        <v>58</v>
      </c>
    </row>
    <row r="814" spans="1:20" x14ac:dyDescent="0.25">
      <c r="A814">
        <v>22201129</v>
      </c>
      <c r="B814" t="s">
        <v>10</v>
      </c>
      <c r="C814" t="s">
        <v>9</v>
      </c>
      <c r="D814">
        <v>69</v>
      </c>
      <c r="E814">
        <v>60</v>
      </c>
      <c r="F814">
        <v>9</v>
      </c>
      <c r="G814">
        <v>3</v>
      </c>
      <c r="H814" s="1">
        <v>6.4004629629629628E-3</v>
      </c>
      <c r="I814">
        <v>2022</v>
      </c>
      <c r="J814" t="s">
        <v>59</v>
      </c>
      <c r="K814" s="2" t="str">
        <f>HYPERLINK("https://www.nba.com/stats/events?CFID=&amp;CFPARAMS=&amp;GameEventID=326&amp;GameID=0022201129&amp;Season=2022-23&amp;flag=1&amp;title=N.%20Batum%203PT%20%20(18%20PTS)%20(K.%20Leonard%205%20AST)", "N. Batum 3PT  (18 PTS) (K. Leonard 5 AST)")</f>
        <v>N. Batum 3PT  (18 PTS) (K. Leonard 5 AST)</v>
      </c>
      <c r="L814" s="2" t="str">
        <f>HYPERLINK("https://www.nba.com/game/...-vs-...-0022201129/play-by-play?watchFullGame=true", "LAC vs CHI - Q3 09:13.00")</f>
        <v>LAC vs CHI - Q3 09:13.00</v>
      </c>
      <c r="M814">
        <v>23.56</v>
      </c>
      <c r="N814">
        <v>89.8</v>
      </c>
      <c r="O814">
        <v>96.32</v>
      </c>
      <c r="P814">
        <v>232</v>
      </c>
      <c r="Q814">
        <v>43</v>
      </c>
      <c r="R814">
        <v>89</v>
      </c>
      <c r="S814">
        <v>96</v>
      </c>
      <c r="T814" t="s">
        <v>58</v>
      </c>
    </row>
    <row r="815" spans="1:20" x14ac:dyDescent="0.25">
      <c r="A815">
        <v>22200617</v>
      </c>
      <c r="B815" t="s">
        <v>10</v>
      </c>
      <c r="C815" t="s">
        <v>9</v>
      </c>
      <c r="D815">
        <v>59</v>
      </c>
      <c r="E815">
        <v>42</v>
      </c>
      <c r="F815">
        <v>17</v>
      </c>
      <c r="G815">
        <v>2</v>
      </c>
      <c r="H815" s="1">
        <v>2.0949074074074073E-3</v>
      </c>
      <c r="I815">
        <v>2022</v>
      </c>
      <c r="J815" t="s">
        <v>59</v>
      </c>
      <c r="K815" s="2" t="str">
        <f>HYPERLINK("https://www.nba.com/stats/events?CFID=&amp;CFPARAMS=&amp;GameEventID=300&amp;GameID=0022200617&amp;Season=2022-23&amp;flag=1&amp;title=R.%20Covington%203PT%20%20(7%20PTS)%20(K.%20Leonard%202%20AST)", "R. Covington 3PT  (7 PTS) (K. Leonard 2 AST)")</f>
        <v>R. Covington 3PT  (7 PTS) (K. Leonard 2 AST)</v>
      </c>
      <c r="L815" s="2" t="str">
        <f>HYPERLINK("https://www.nba.com/game/...-vs-...-0022200617/play-by-play?watchFullGame=true", "LAC vs DAL - Q2 03:01.00")</f>
        <v>LAC vs DAL - Q2 03:01.00</v>
      </c>
      <c r="M815">
        <v>23.52</v>
      </c>
      <c r="N815">
        <v>89.41</v>
      </c>
      <c r="O815">
        <v>96.08</v>
      </c>
      <c r="P815">
        <v>230</v>
      </c>
      <c r="Q815">
        <v>47</v>
      </c>
      <c r="R815">
        <v>89</v>
      </c>
      <c r="S815">
        <v>96</v>
      </c>
      <c r="T815" t="s">
        <v>58</v>
      </c>
    </row>
    <row r="816" spans="1:20" x14ac:dyDescent="0.25">
      <c r="A816">
        <v>22201229</v>
      </c>
      <c r="B816" t="s">
        <v>10</v>
      </c>
      <c r="C816" t="s">
        <v>9</v>
      </c>
      <c r="D816">
        <v>5</v>
      </c>
      <c r="E816">
        <v>8</v>
      </c>
      <c r="F816">
        <v>3</v>
      </c>
      <c r="G816">
        <v>1</v>
      </c>
      <c r="H816" s="1">
        <v>6.0185185185185185E-3</v>
      </c>
      <c r="I816">
        <v>2022</v>
      </c>
      <c r="J816" t="s">
        <v>59</v>
      </c>
      <c r="K816" s="2" t="str">
        <f>HYPERLINK("https://www.nba.com/stats/events?CFID=&amp;CFPARAMS=&amp;GameEventID=34&amp;GameID=0022201229&amp;Season=2022-23&amp;flag=1&amp;title=R.%20Westbrook%203PT%20%20(5%20PTS)%20(K.%20Leonard%201%20AST)", "R. Westbrook 3PT  (5 PTS) (K. Leonard 1 AST)")</f>
        <v>R. Westbrook 3PT  (5 PTS) (K. Leonard 1 AST)</v>
      </c>
      <c r="L816" s="2" t="str">
        <f>HYPERLINK("https://www.nba.com/game/...-vs-...-0022201229/play-by-play?watchFullGame=true", "LAC vs PHX - Q1 08:40.00")</f>
        <v>LAC vs PHX - Q1 08:40.00</v>
      </c>
      <c r="M816">
        <v>23.44</v>
      </c>
      <c r="N816">
        <v>89.83</v>
      </c>
      <c r="O816">
        <v>96.08</v>
      </c>
      <c r="P816">
        <v>230</v>
      </c>
      <c r="Q816">
        <v>43</v>
      </c>
      <c r="R816">
        <v>89</v>
      </c>
      <c r="S816">
        <v>96</v>
      </c>
      <c r="T816" t="s">
        <v>58</v>
      </c>
    </row>
    <row r="817" spans="1:20" x14ac:dyDescent="0.25">
      <c r="A817">
        <v>22000576</v>
      </c>
      <c r="B817" t="s">
        <v>4</v>
      </c>
      <c r="C817" t="s">
        <v>9</v>
      </c>
      <c r="D817">
        <v>12</v>
      </c>
      <c r="E817">
        <v>3</v>
      </c>
      <c r="F817">
        <v>9</v>
      </c>
      <c r="G817">
        <v>1</v>
      </c>
      <c r="H817" s="1">
        <v>6.2615740740740739E-3</v>
      </c>
      <c r="I817">
        <v>2020</v>
      </c>
      <c r="J817" t="s">
        <v>59</v>
      </c>
      <c r="K817" s="2" t="str">
        <f>HYPERLINK("https://www.nba.com/stats/events?CFID=&amp;CFPARAMS=&amp;GameEventID=40&amp;GameID=0022000576&amp;Season=2020-21&amp;flag=1&amp;title=P.%20George%20driving%20floating%20Jump%20Shot%20(2%20PTS)%20(K.%20Leonard%202%20AST)", "P. George driving floating Jump Shot (2 PTS) (K. Leonard 2 AST)")</f>
        <v>P. George driving floating Jump Shot (2 PTS) (K. Leonard 2 AST)</v>
      </c>
      <c r="L817" s="2" t="str">
        <f>HYPERLINK("https://www.nba.com/game/...-vs-...-0022000576/play-by-play?watchFullGame=true", "LAC vs GSW - Q1 09:01.00")</f>
        <v>LAC vs GSW - Q1 09:01.00</v>
      </c>
      <c r="M817">
        <v>4.2300000000000004</v>
      </c>
      <c r="N817">
        <v>89.96</v>
      </c>
      <c r="O817">
        <v>51.29</v>
      </c>
      <c r="P817">
        <v>6</v>
      </c>
      <c r="Q817">
        <v>42</v>
      </c>
      <c r="R817">
        <v>89</v>
      </c>
      <c r="S817">
        <v>51</v>
      </c>
      <c r="T817" t="s">
        <v>58</v>
      </c>
    </row>
    <row r="818" spans="1:20" x14ac:dyDescent="0.25">
      <c r="A818">
        <v>22000605</v>
      </c>
      <c r="B818" t="s">
        <v>4</v>
      </c>
      <c r="C818" t="s">
        <v>9</v>
      </c>
      <c r="D818">
        <v>49</v>
      </c>
      <c r="E818">
        <v>48</v>
      </c>
      <c r="F818">
        <v>1</v>
      </c>
      <c r="G818">
        <v>2</v>
      </c>
      <c r="H818" s="1">
        <v>1.2847222222222223E-3</v>
      </c>
      <c r="I818">
        <v>2020</v>
      </c>
      <c r="J818" t="s">
        <v>59</v>
      </c>
      <c r="K818" s="2" t="str">
        <f>HYPERLINK("https://www.nba.com/stats/events?CFID=&amp;CFPARAMS=&amp;GameEventID=234&amp;GameID=0022000605&amp;Season=2020-21&amp;flag=1&amp;title=M.%20Morris%20Sr.%208'%20turnaround%20fadeaway%20Jump%20Shot%20(9%20PTS)%20(K.%20Leonard%203%20AST)", "M. Morris Sr. 8' turnaround fadeaway Jump Shot (9 PTS) (K. Leonard 3 AST)")</f>
        <v>M. Morris Sr. 8' turnaround fadeaway Jump Shot (9 PTS) (K. Leonard 3 AST)</v>
      </c>
      <c r="L818" s="2" t="str">
        <f>HYPERLINK("https://www.nba.com/game/...-vs-...-0022000605/play-by-play?watchFullGame=true", "LAC vs DAL - Q2 01:51.00")</f>
        <v>LAC vs DAL - Q2 01:51.00</v>
      </c>
      <c r="M818">
        <v>8.59</v>
      </c>
      <c r="N818">
        <v>89.44</v>
      </c>
      <c r="O818">
        <v>35.61</v>
      </c>
      <c r="P818">
        <v>-72</v>
      </c>
      <c r="Q818">
        <v>47</v>
      </c>
      <c r="R818">
        <v>89</v>
      </c>
      <c r="S818">
        <v>35</v>
      </c>
      <c r="T818" t="s">
        <v>58</v>
      </c>
    </row>
    <row r="819" spans="1:20" x14ac:dyDescent="0.25">
      <c r="A819">
        <v>22301064</v>
      </c>
      <c r="B819" t="s">
        <v>10</v>
      </c>
      <c r="C819" t="s">
        <v>9</v>
      </c>
      <c r="D819">
        <v>83</v>
      </c>
      <c r="E819">
        <v>76</v>
      </c>
      <c r="F819">
        <v>7</v>
      </c>
      <c r="G819">
        <v>3</v>
      </c>
      <c r="H819" s="1">
        <v>3.0439814814814815E-4</v>
      </c>
      <c r="I819">
        <v>2023</v>
      </c>
      <c r="J819" t="s">
        <v>59</v>
      </c>
      <c r="K819" s="2" t="str">
        <f>HYPERLINK("https://www.nba.com/stats/events?CFID=&amp;CFPARAMS=&amp;GameEventID=454&amp;GameID=0022301064&amp;Season=2023-24&amp;flag=1&amp;title=A.%20Coffey%203PT%20running%20(6%20PTS)%20(K.%20Leonard%205%20AST)", "A. Coffey 3PT running (6 PTS) (K. Leonard 5 AST)")</f>
        <v>A. Coffey 3PT running (6 PTS) (K. Leonard 5 AST)</v>
      </c>
      <c r="L819" s="2" t="str">
        <f>HYPERLINK("https://www.nba.com/game/...-vs-...-0022301064/play-by-play?watchFullGame=true", "LAC vs ORL - Q3 00:26.30")</f>
        <v>LAC vs ORL - Q3 00:26.30</v>
      </c>
      <c r="M819">
        <v>23.34</v>
      </c>
      <c r="N819">
        <v>89.7</v>
      </c>
      <c r="O819">
        <v>4.17</v>
      </c>
      <c r="P819">
        <v>-229</v>
      </c>
      <c r="Q819">
        <v>44</v>
      </c>
      <c r="R819">
        <v>89</v>
      </c>
      <c r="S819">
        <v>4</v>
      </c>
      <c r="T819" t="s">
        <v>58</v>
      </c>
    </row>
    <row r="820" spans="1:20" x14ac:dyDescent="0.25">
      <c r="A820">
        <v>21901232</v>
      </c>
      <c r="B820" t="s">
        <v>10</v>
      </c>
      <c r="C820" t="s">
        <v>61</v>
      </c>
      <c r="D820">
        <v>98</v>
      </c>
      <c r="E820">
        <v>99</v>
      </c>
      <c r="F820">
        <v>1</v>
      </c>
      <c r="G820">
        <v>4</v>
      </c>
      <c r="H820" s="1">
        <v>1.2268518518518518E-3</v>
      </c>
      <c r="I820">
        <v>2019</v>
      </c>
      <c r="J820" t="s">
        <v>59</v>
      </c>
      <c r="K820" s="2" t="str">
        <f>HYPERLINK("https://www.nba.com/stats/events?CFID=&amp;CFPARAMS=&amp;GameEventID=700&amp;GameID=0021901232&amp;Season=2019-20&amp;flag=1&amp;title=P.%20George%2024'%203PT%20%20(27%20PTS)%20(K.%20Leonard%204%20AST)", "P. George 24' 3PT  (27 PTS) (K. Leonard 4 AST)")</f>
        <v>P. George 24' 3PT  (27 PTS) (K. Leonard 4 AST)</v>
      </c>
      <c r="L820" s="2" t="str">
        <f>HYPERLINK("https://www.nba.com/game/...-vs-...-0021901232/play-by-play?watchFullGame=true", "LAC vs LAL - Q4 01:46.00")</f>
        <v>LAC vs LAL - Q4 01:46.00</v>
      </c>
      <c r="M820">
        <v>24.35</v>
      </c>
      <c r="N820">
        <v>89.83</v>
      </c>
      <c r="O820">
        <v>2.27</v>
      </c>
      <c r="P820">
        <v>-239</v>
      </c>
      <c r="Q820">
        <v>43</v>
      </c>
      <c r="R820">
        <v>89</v>
      </c>
      <c r="S820">
        <v>2</v>
      </c>
      <c r="T820" t="s">
        <v>58</v>
      </c>
    </row>
    <row r="821" spans="1:20" x14ac:dyDescent="0.25">
      <c r="A821">
        <v>22300618</v>
      </c>
      <c r="B821" t="s">
        <v>10</v>
      </c>
      <c r="C821" t="s">
        <v>9</v>
      </c>
      <c r="D821">
        <v>75</v>
      </c>
      <c r="E821">
        <v>61</v>
      </c>
      <c r="F821">
        <v>14</v>
      </c>
      <c r="G821">
        <v>2</v>
      </c>
      <c r="H821" s="1">
        <v>5.0347222222222221E-4</v>
      </c>
      <c r="I821">
        <v>2023</v>
      </c>
      <c r="J821" t="s">
        <v>59</v>
      </c>
      <c r="K821" s="2" t="str">
        <f>HYPERLINK("https://www.nba.com/stats/events?CFID=&amp;CFPARAMS=&amp;GameEventID=299&amp;GameID=0022300618&amp;Season=2023-24&amp;flag=1&amp;title=T.%20Mann%203PT%20%20(15%20PTS)%20(K.%20Leonard%204%20AST)", "T. Mann 3PT  (15 PTS) (K. Leonard 4 AST)")</f>
        <v>T. Mann 3PT  (15 PTS) (K. Leonard 4 AST)</v>
      </c>
      <c r="L821" s="2" t="str">
        <f>HYPERLINK("https://www.nba.com/game/...-vs-...-0022300618/play-by-play?watchFullGame=true", "LAC vs LAL - Q2 00:43.50")</f>
        <v>LAC vs LAL - Q2 00:43.50</v>
      </c>
      <c r="M821">
        <v>23.23</v>
      </c>
      <c r="N821">
        <v>89.01</v>
      </c>
      <c r="O821">
        <v>95.34</v>
      </c>
      <c r="P821">
        <v>227</v>
      </c>
      <c r="Q821">
        <v>51</v>
      </c>
      <c r="R821">
        <v>89</v>
      </c>
      <c r="S821">
        <v>95</v>
      </c>
      <c r="T821" t="s">
        <v>58</v>
      </c>
    </row>
    <row r="822" spans="1:20" x14ac:dyDescent="0.25">
      <c r="A822">
        <v>22300708</v>
      </c>
      <c r="B822" t="s">
        <v>10</v>
      </c>
      <c r="C822" t="s">
        <v>9</v>
      </c>
      <c r="D822">
        <v>53</v>
      </c>
      <c r="E822">
        <v>49</v>
      </c>
      <c r="F822">
        <v>4</v>
      </c>
      <c r="G822">
        <v>3</v>
      </c>
      <c r="H822" s="1">
        <v>5.8333333333333336E-3</v>
      </c>
      <c r="I822">
        <v>2023</v>
      </c>
      <c r="J822" t="s">
        <v>59</v>
      </c>
      <c r="K822" s="2" t="str">
        <f>HYPERLINK("https://www.nba.com/stats/events?CFID=&amp;CFPARAMS=&amp;GameEventID=302&amp;GameID=0022300708&amp;Season=2023-24&amp;flag=1&amp;title=T.%20Mann%2025'%203PT%20%20(5%20PTS)%20(K.%20Leonard%202%20AST)", "T. Mann 25' 3PT  (5 PTS) (K. Leonard 2 AST)")</f>
        <v>T. Mann 25' 3PT  (5 PTS) (K. Leonard 2 AST)</v>
      </c>
      <c r="L822" s="2" t="str">
        <f>HYPERLINK("https://www.nba.com/game/...-vs-...-0022300708/play-by-play?watchFullGame=true", "LAC vs MIA - Q3 08:24.00")</f>
        <v>LAC vs MIA - Q3 08:24.00</v>
      </c>
      <c r="M822">
        <v>25.36</v>
      </c>
      <c r="N822">
        <v>89.18</v>
      </c>
      <c r="O822">
        <v>0.25</v>
      </c>
      <c r="P822">
        <v>-249</v>
      </c>
      <c r="Q822">
        <v>49</v>
      </c>
      <c r="R822">
        <v>89</v>
      </c>
      <c r="S822">
        <v>0</v>
      </c>
      <c r="T822" t="s">
        <v>58</v>
      </c>
    </row>
    <row r="823" spans="1:20" x14ac:dyDescent="0.25">
      <c r="A823">
        <v>22400751</v>
      </c>
      <c r="B823" t="s">
        <v>4</v>
      </c>
      <c r="C823" t="s">
        <v>9</v>
      </c>
      <c r="D823">
        <v>68</v>
      </c>
      <c r="E823">
        <v>71</v>
      </c>
      <c r="F823">
        <v>3</v>
      </c>
      <c r="G823">
        <v>3</v>
      </c>
      <c r="H823" s="1">
        <v>5.0231481481481481E-3</v>
      </c>
      <c r="I823">
        <v>2024</v>
      </c>
      <c r="J823" t="s">
        <v>59</v>
      </c>
      <c r="K823" s="2" t="str">
        <f>HYPERLINK("https://www.nba.com/stats/events?CFID=&amp;CFPARAMS=&amp;GameEventID=402&amp;GameID=0022400751&amp;Season=2024-25&amp;flag=1&amp;title=I.%20Zubac%20floating%20Jump%20Shot%20(18%20PTS)%20(K.%20Leonard%202%20AST)", "I. Zubac floating Jump Shot (18 PTS) (K. Leonard 2 AST)")</f>
        <v>I. Zubac floating Jump Shot (18 PTS) (K. Leonard 2 AST)</v>
      </c>
      <c r="L823" s="2" t="str">
        <f>HYPERLINK("https://www.nba.com/game/...-vs-...-0022400751/play-by-play?watchFullGame=true", "LAC vs UTA - Q3 07:14.00")</f>
        <v>LAC vs UTA - Q3 07:14.00</v>
      </c>
      <c r="M823">
        <v>5.23</v>
      </c>
      <c r="N823">
        <v>89.57</v>
      </c>
      <c r="O823">
        <v>55.15</v>
      </c>
      <c r="P823">
        <v>26</v>
      </c>
      <c r="Q823">
        <v>46</v>
      </c>
      <c r="R823">
        <v>89</v>
      </c>
      <c r="S823">
        <v>55</v>
      </c>
      <c r="T823" t="s">
        <v>58</v>
      </c>
    </row>
    <row r="824" spans="1:20" x14ac:dyDescent="0.25">
      <c r="A824">
        <v>22300676</v>
      </c>
      <c r="B824" t="s">
        <v>4</v>
      </c>
      <c r="C824" t="s">
        <v>64</v>
      </c>
      <c r="D824">
        <v>64</v>
      </c>
      <c r="E824">
        <v>57</v>
      </c>
      <c r="F824">
        <v>7</v>
      </c>
      <c r="G824">
        <v>2</v>
      </c>
      <c r="H824" s="1">
        <v>7.0601851851851847E-4</v>
      </c>
      <c r="I824">
        <v>2023</v>
      </c>
      <c r="J824" t="s">
        <v>59</v>
      </c>
      <c r="K824" s="2" t="str">
        <f>HYPERLINK("https://www.nba.com/stats/events?CFID=&amp;CFPARAMS=&amp;GameEventID=286&amp;GameID=0022300676&amp;Season=2023-24&amp;flag=1&amp;title=T.%20Mann%20cutting%20finger%20roll%20Layup%20(2%20PTS)%20(K.%20Leonard%201%20AST)", "T. Mann cutting finger roll Layup (2 PTS) (K. Leonard 1 AST)")</f>
        <v>T. Mann cutting finger roll Layup (2 PTS) (K. Leonard 1 AST)</v>
      </c>
      <c r="L824" s="2" t="str">
        <f>HYPERLINK("https://www.nba.com/game/...-vs-...-0022300676/play-by-play?watchFullGame=true", "LAC vs WAS - Q2 01:01.00")</f>
        <v>LAC vs WAS - Q2 01:01.00</v>
      </c>
      <c r="M824">
        <v>5.03</v>
      </c>
      <c r="N824">
        <v>89.18</v>
      </c>
      <c r="O824">
        <v>51.96</v>
      </c>
      <c r="P824">
        <v>10</v>
      </c>
      <c r="Q824">
        <v>49</v>
      </c>
      <c r="R824">
        <v>89</v>
      </c>
      <c r="S824">
        <v>51</v>
      </c>
      <c r="T824" t="s">
        <v>58</v>
      </c>
    </row>
    <row r="825" spans="1:20" x14ac:dyDescent="0.25">
      <c r="A825">
        <v>22300235</v>
      </c>
      <c r="B825" t="s">
        <v>4</v>
      </c>
      <c r="C825" t="s">
        <v>64</v>
      </c>
      <c r="D825">
        <v>18</v>
      </c>
      <c r="E825">
        <v>11</v>
      </c>
      <c r="F825">
        <v>7</v>
      </c>
      <c r="G825">
        <v>1</v>
      </c>
      <c r="H825" s="1">
        <v>2.0254629629629629E-3</v>
      </c>
      <c r="I825">
        <v>2023</v>
      </c>
      <c r="J825" t="s">
        <v>59</v>
      </c>
      <c r="K825" s="2" t="str">
        <f>HYPERLINK("https://www.nba.com/stats/events?CFID=&amp;CFPARAMS=&amp;GameEventID=110&amp;GameID=0022300235&amp;Season=2023-24&amp;flag=1&amp;title=N.%20Powell%20running%20finger%20roll%20Layup%20(2%20PTS)%20(K.%20Leonard%203%20AST)", "N. Powell running finger roll Layup (2 PTS) (K. Leonard 3 AST)")</f>
        <v>N. Powell running finger roll Layup (2 PTS) (K. Leonard 3 AST)</v>
      </c>
      <c r="L825" s="2" t="str">
        <f>HYPERLINK("https://www.nba.com/game/...-vs-...-0022300235/play-by-play?watchFullGame=true", "LAC vs SAS - Q1 02:55.00")</f>
        <v>LAC vs SAS - Q1 02:55.00</v>
      </c>
      <c r="M825">
        <v>4.2</v>
      </c>
      <c r="N825">
        <v>89.96</v>
      </c>
      <c r="O825">
        <v>49.26</v>
      </c>
      <c r="P825">
        <v>-4</v>
      </c>
      <c r="Q825">
        <v>42</v>
      </c>
      <c r="R825">
        <v>89</v>
      </c>
      <c r="S825">
        <v>49</v>
      </c>
      <c r="T825" t="s">
        <v>58</v>
      </c>
    </row>
    <row r="826" spans="1:20" x14ac:dyDescent="0.25">
      <c r="A826">
        <v>22400751</v>
      </c>
      <c r="B826" t="s">
        <v>10</v>
      </c>
      <c r="C826" t="s">
        <v>9</v>
      </c>
      <c r="D826">
        <v>99</v>
      </c>
      <c r="E826">
        <v>93</v>
      </c>
      <c r="F826">
        <v>6</v>
      </c>
      <c r="G826">
        <v>4</v>
      </c>
      <c r="H826" s="1">
        <v>6.5277777777777782E-3</v>
      </c>
      <c r="I826">
        <v>2024</v>
      </c>
      <c r="J826" t="s">
        <v>59</v>
      </c>
      <c r="K826" s="2" t="str">
        <f>HYPERLINK("https://www.nba.com/stats/events?CFID=&amp;CFPARAMS=&amp;GameEventID=534&amp;GameID=0022400751&amp;Season=2024-25&amp;flag=1&amp;title=A.%20Coffey%203PT%20%20(11%20PTS)%20(K.%20Leonard%203%20AST)", "A. Coffey 3PT  (11 PTS) (K. Leonard 3 AST)")</f>
        <v>A. Coffey 3PT  (11 PTS) (K. Leonard 3 AST)</v>
      </c>
      <c r="L826" s="2" t="str">
        <f>HYPERLINK("https://www.nba.com/game/...-vs-...-0022400751/play-by-play?watchFullGame=true", "LAC vs UTA - Q4 09:24.00")</f>
        <v>LAC vs UTA - Q4 09:24.00</v>
      </c>
      <c r="M826">
        <v>23.39</v>
      </c>
      <c r="N826">
        <v>89.44</v>
      </c>
      <c r="O826">
        <v>95.83</v>
      </c>
      <c r="P826">
        <v>229</v>
      </c>
      <c r="Q826">
        <v>47</v>
      </c>
      <c r="R826">
        <v>89</v>
      </c>
      <c r="S826">
        <v>95</v>
      </c>
      <c r="T826" t="s">
        <v>58</v>
      </c>
    </row>
    <row r="827" spans="1:20" x14ac:dyDescent="0.25">
      <c r="A827">
        <v>22000576</v>
      </c>
      <c r="B827" t="s">
        <v>4</v>
      </c>
      <c r="C827" t="s">
        <v>9</v>
      </c>
      <c r="D827">
        <v>14</v>
      </c>
      <c r="E827">
        <v>5</v>
      </c>
      <c r="F827">
        <v>9</v>
      </c>
      <c r="G827">
        <v>1</v>
      </c>
      <c r="H827" s="1">
        <v>4.8611111111111112E-3</v>
      </c>
      <c r="I827">
        <v>2020</v>
      </c>
      <c r="J827" t="s">
        <v>59</v>
      </c>
      <c r="K827" s="2" t="str">
        <f>HYPERLINK("https://www.nba.com/stats/events?CFID=&amp;CFPARAMS=&amp;GameEventID=62&amp;GameID=0022000576&amp;Season=2020-21&amp;flag=1&amp;title=Ibaka%20floating%20Jump%20Shot%20(9%20PTS)%20(K.%20Leonard%203%20AST)", "S. Ibaka floating Jump Shot (9 PTS) (K. Leonard 3 AST)")</f>
        <v>S. Ibaka floating Jump Shot (9 PTS) (K. Leonard 3 AST)</v>
      </c>
      <c r="L827" s="2" t="str">
        <f>HYPERLINK("https://www.nba.com/game/...-vs-...-0022000576/play-by-play?watchFullGame=true", "LAC vs GSW - Q1 07:00.00")</f>
        <v>LAC vs GSW - Q1 07:00.00</v>
      </c>
      <c r="M827">
        <v>5.27</v>
      </c>
      <c r="N827">
        <v>89.31</v>
      </c>
      <c r="O827">
        <v>45.66</v>
      </c>
      <c r="P827">
        <v>-22</v>
      </c>
      <c r="Q827">
        <v>48</v>
      </c>
      <c r="R827">
        <v>89</v>
      </c>
      <c r="S827">
        <v>45</v>
      </c>
      <c r="T827" t="s">
        <v>58</v>
      </c>
    </row>
    <row r="828" spans="1:20" x14ac:dyDescent="0.25">
      <c r="A828">
        <v>22201082</v>
      </c>
      <c r="B828" t="s">
        <v>4</v>
      </c>
      <c r="C828" t="s">
        <v>70</v>
      </c>
      <c r="D828">
        <v>2</v>
      </c>
      <c r="E828">
        <v>2</v>
      </c>
      <c r="F828">
        <v>0</v>
      </c>
      <c r="G828">
        <v>1</v>
      </c>
      <c r="H828" s="1">
        <v>7.7083333333333335E-3</v>
      </c>
      <c r="I828">
        <v>2022</v>
      </c>
      <c r="J828" t="s">
        <v>59</v>
      </c>
      <c r="K828" s="2" t="str">
        <f>HYPERLINK("https://www.nba.com/stats/events?CFID=&amp;CFPARAMS=&amp;GameEventID=11&amp;GameID=0022201082&amp;Season=2022-23&amp;flag=1&amp;title=I.%20Zubac%20Hook%20(2%20PTS)%20(K.%20Leonard%201%20AST)", "I. Zubac Hook (2 PTS) (K. Leonard 1 AST)")</f>
        <v>I. Zubac Hook (2 PTS) (K. Leonard 1 AST)</v>
      </c>
      <c r="L828" s="2" t="str">
        <f>HYPERLINK("https://www.nba.com/game/...-vs-...-0022201082/play-by-play?watchFullGame=true", "LAC vs OKC - Q1 11:06.00")</f>
        <v>LAC vs OKC - Q1 11:06.00</v>
      </c>
      <c r="M828">
        <v>4.9800000000000004</v>
      </c>
      <c r="N828">
        <v>89.8</v>
      </c>
      <c r="O828">
        <v>54.9</v>
      </c>
      <c r="P828">
        <v>25</v>
      </c>
      <c r="Q828">
        <v>43</v>
      </c>
      <c r="R828">
        <v>89</v>
      </c>
      <c r="S828">
        <v>54</v>
      </c>
      <c r="T828" t="s">
        <v>58</v>
      </c>
    </row>
    <row r="829" spans="1:20" x14ac:dyDescent="0.25">
      <c r="A829">
        <v>22300917</v>
      </c>
      <c r="B829" t="s">
        <v>10</v>
      </c>
      <c r="C829" t="s">
        <v>9</v>
      </c>
      <c r="D829">
        <v>49</v>
      </c>
      <c r="E829">
        <v>60</v>
      </c>
      <c r="F829">
        <v>11</v>
      </c>
      <c r="G829">
        <v>3</v>
      </c>
      <c r="H829" s="1">
        <v>7.6157407407407406E-3</v>
      </c>
      <c r="I829">
        <v>2023</v>
      </c>
      <c r="J829" t="s">
        <v>59</v>
      </c>
      <c r="K829" s="2" t="str">
        <f>HYPERLINK("https://www.nba.com/stats/events?CFID=&amp;CFPARAMS=&amp;GameEventID=331&amp;GameID=0022300917&amp;Season=2023-24&amp;flag=1&amp;title=T.%20Mann%203PT%20pullup%20(3%20PTS)%20(K.%20Leonard%202%20AST)", "T. Mann 3PT pullup (3 PTS) (K. Leonard 2 AST)")</f>
        <v>T. Mann 3PT pullup (3 PTS) (K. Leonard 2 AST)</v>
      </c>
      <c r="L829" s="2" t="str">
        <f>HYPERLINK("https://www.nba.com/game/...-vs-...-0022300917/play-by-play?watchFullGame=true", "LAC vs CHI - Q3 10:58.00")</f>
        <v>LAC vs CHI - Q3 10:58.00</v>
      </c>
      <c r="M829">
        <v>23.22</v>
      </c>
      <c r="N829">
        <v>89.67</v>
      </c>
      <c r="O829">
        <v>4.41</v>
      </c>
      <c r="P829">
        <v>-228</v>
      </c>
      <c r="Q829">
        <v>45</v>
      </c>
      <c r="R829">
        <v>89</v>
      </c>
      <c r="S829">
        <v>4</v>
      </c>
      <c r="T829" t="s">
        <v>58</v>
      </c>
    </row>
    <row r="830" spans="1:20" x14ac:dyDescent="0.25">
      <c r="A830">
        <v>22200735</v>
      </c>
      <c r="B830" t="s">
        <v>10</v>
      </c>
      <c r="C830" t="s">
        <v>9</v>
      </c>
      <c r="D830">
        <v>19</v>
      </c>
      <c r="E830">
        <v>9</v>
      </c>
      <c r="F830">
        <v>10</v>
      </c>
      <c r="G830">
        <v>1</v>
      </c>
      <c r="H830" s="1">
        <v>4.6064814814814814E-3</v>
      </c>
      <c r="I830">
        <v>2022</v>
      </c>
      <c r="J830" t="s">
        <v>59</v>
      </c>
      <c r="K830" s="2" t="str">
        <f>HYPERLINK("https://www.nba.com/stats/events?CFID=&amp;CFPARAMS=&amp;GameEventID=59&amp;GameID=0022200735&amp;Season=2022-23&amp;flag=1&amp;title=P.%20George%203PT%20%20(8%20PTS)%20(K.%20Leonard%204%20AST)", "P. George 3PT  (8 PTS) (K. Leonard 4 AST)")</f>
        <v>P. George 3PT  (8 PTS) (K. Leonard 4 AST)</v>
      </c>
      <c r="L830" s="2" t="str">
        <f>HYPERLINK("https://www.nba.com/game/...-vs-...-0022200735/play-by-play?watchFullGame=true", "LAC vs SAS - Q1 06:38.00")</f>
        <v>LAC vs SAS - Q1 06:38.00</v>
      </c>
      <c r="M830">
        <v>23.52</v>
      </c>
      <c r="N830">
        <v>90.85</v>
      </c>
      <c r="O830">
        <v>3.43</v>
      </c>
      <c r="P830">
        <v>-233</v>
      </c>
      <c r="Q830">
        <v>34</v>
      </c>
      <c r="R830">
        <v>90</v>
      </c>
      <c r="S830">
        <v>3</v>
      </c>
      <c r="T830" t="s">
        <v>58</v>
      </c>
    </row>
    <row r="831" spans="1:20" x14ac:dyDescent="0.25">
      <c r="A831">
        <v>22300956</v>
      </c>
      <c r="B831" t="s">
        <v>10</v>
      </c>
      <c r="C831" t="s">
        <v>9</v>
      </c>
      <c r="D831">
        <v>118</v>
      </c>
      <c r="E831">
        <v>102</v>
      </c>
      <c r="F831">
        <v>16</v>
      </c>
      <c r="G831">
        <v>4</v>
      </c>
      <c r="H831" s="1">
        <v>2.7314814814814814E-3</v>
      </c>
      <c r="I831">
        <v>2023</v>
      </c>
      <c r="J831" t="s">
        <v>59</v>
      </c>
      <c r="K831" s="2" t="str">
        <f>HYPERLINK("https://www.nba.com/stats/events?CFID=&amp;CFPARAMS=&amp;GameEventID=521&amp;GameID=0022300956&amp;Season=2023-24&amp;flag=1&amp;title=P.%20George%203PT%20%20(28%20PTS)%20(K.%20Leonard%203%20AST)", "P. George 3PT  (28 PTS) (K. Leonard 3 AST)")</f>
        <v>P. George 3PT  (28 PTS) (K. Leonard 3 AST)</v>
      </c>
      <c r="L831" s="2" t="str">
        <f>HYPERLINK("https://www.nba.com/game/...-vs-...-0022300956/play-by-play?watchFullGame=true", "LAC vs CHI - Q4 03:56.00")</f>
        <v>LAC vs CHI - Q4 03:56.00</v>
      </c>
      <c r="M831">
        <v>23.2</v>
      </c>
      <c r="N831">
        <v>90.62</v>
      </c>
      <c r="O831">
        <v>4.17</v>
      </c>
      <c r="P831">
        <v>-229</v>
      </c>
      <c r="Q831">
        <v>36</v>
      </c>
      <c r="R831">
        <v>90</v>
      </c>
      <c r="S831">
        <v>4</v>
      </c>
      <c r="T831" t="s">
        <v>58</v>
      </c>
    </row>
    <row r="832" spans="1:20" x14ac:dyDescent="0.25">
      <c r="A832">
        <v>22000142</v>
      </c>
      <c r="B832" t="s">
        <v>10</v>
      </c>
      <c r="C832" t="s">
        <v>9</v>
      </c>
      <c r="D832">
        <v>121</v>
      </c>
      <c r="E832">
        <v>119</v>
      </c>
      <c r="F832">
        <v>2</v>
      </c>
      <c r="G832">
        <v>4</v>
      </c>
      <c r="H832" s="1">
        <v>1.736111111111111E-3</v>
      </c>
      <c r="I832">
        <v>2020</v>
      </c>
      <c r="J832" t="s">
        <v>59</v>
      </c>
      <c r="K832" s="2" t="str">
        <f>HYPERLINK("https://www.nba.com/stats/events?CFID=&amp;CFPARAMS=&amp;GameEventID=597&amp;GameID=0022000142&amp;Season=2020-21&amp;flag=1&amp;title=N.%20Batum%203PT%20%20(7%20PTS)%20(K.%20Leonard%204%20AST)", "N. Batum 3PT  (7 PTS) (K. Leonard 4 AST)")</f>
        <v>N. Batum 3PT  (7 PTS) (K. Leonard 4 AST)</v>
      </c>
      <c r="L832" s="2" t="str">
        <f>HYPERLINK("https://www.nba.com/game/...-vs-...-0022000142/play-by-play?watchFullGame=true", "LAC vs CHI - Q4 02:30.00")</f>
        <v>LAC vs CHI - Q4 02:30.00</v>
      </c>
      <c r="M832">
        <v>23.65</v>
      </c>
      <c r="N832">
        <v>90.23</v>
      </c>
      <c r="O832">
        <v>96.64</v>
      </c>
      <c r="P832">
        <v>233</v>
      </c>
      <c r="Q832">
        <v>39</v>
      </c>
      <c r="R832">
        <v>90</v>
      </c>
      <c r="S832">
        <v>96</v>
      </c>
      <c r="T832" t="s">
        <v>58</v>
      </c>
    </row>
    <row r="833" spans="1:20" x14ac:dyDescent="0.25">
      <c r="A833">
        <v>22201082</v>
      </c>
      <c r="B833" t="s">
        <v>4</v>
      </c>
      <c r="C833" t="s">
        <v>70</v>
      </c>
      <c r="D833">
        <v>51</v>
      </c>
      <c r="E833">
        <v>54</v>
      </c>
      <c r="F833">
        <v>3</v>
      </c>
      <c r="G833">
        <v>2</v>
      </c>
      <c r="H833" s="1">
        <v>5.6597222222222216E-4</v>
      </c>
      <c r="I833">
        <v>2022</v>
      </c>
      <c r="J833" t="s">
        <v>59</v>
      </c>
      <c r="K833" s="2" t="str">
        <f>HYPERLINK("https://www.nba.com/stats/events?CFID=&amp;CFPARAMS=&amp;GameEventID=328&amp;GameID=0022201082&amp;Season=2022-23&amp;flag=1&amp;title=I.%20Zubac%20turnaround%20Hook%20(9%20PTS)%20(K.%20Leonard%202%20AST)", "I. Zubac turnaround Hook (9 PTS) (K. Leonard 2 AST)")</f>
        <v>I. Zubac turnaround Hook (9 PTS) (K. Leonard 2 AST)</v>
      </c>
      <c r="L833" s="2" t="str">
        <f>HYPERLINK("https://www.nba.com/game/...-vs-...-0022201082/play-by-play?watchFullGame=true", "LAC vs OKC - Q2 00:48.90")</f>
        <v>LAC vs OKC - Q2 00:48.90</v>
      </c>
      <c r="M833">
        <v>4.9000000000000004</v>
      </c>
      <c r="N833">
        <v>90.98</v>
      </c>
      <c r="O833">
        <v>57.35</v>
      </c>
      <c r="P833">
        <v>37</v>
      </c>
      <c r="Q833">
        <v>32</v>
      </c>
      <c r="R833">
        <v>90</v>
      </c>
      <c r="S833">
        <v>57</v>
      </c>
      <c r="T833" t="s">
        <v>58</v>
      </c>
    </row>
    <row r="834" spans="1:20" x14ac:dyDescent="0.25">
      <c r="A834">
        <v>22300099</v>
      </c>
      <c r="B834" t="s">
        <v>10</v>
      </c>
      <c r="C834" t="s">
        <v>9</v>
      </c>
      <c r="D834">
        <v>23</v>
      </c>
      <c r="E834">
        <v>9</v>
      </c>
      <c r="F834">
        <v>14</v>
      </c>
      <c r="G834">
        <v>1</v>
      </c>
      <c r="H834" s="1">
        <v>2.1759259259259258E-3</v>
      </c>
      <c r="I834">
        <v>2023</v>
      </c>
      <c r="J834" t="s">
        <v>59</v>
      </c>
      <c r="K834" s="2" t="str">
        <f>HYPERLINK("https://www.nba.com/stats/events?CFID=&amp;CFPARAMS=&amp;GameEventID=128&amp;GameID=0022300099&amp;Season=2023-24&amp;flag=1&amp;title=B.%20Hyland%203PT%20running%20(3%20PTS)%20(K.%20Leonard%201%20AST)", "B. Hyland 3PT running (3 PTS) (K. Leonard 1 AST)")</f>
        <v>B. Hyland 3PT running (3 PTS) (K. Leonard 1 AST)</v>
      </c>
      <c r="L834" s="2" t="str">
        <f>HYPERLINK("https://www.nba.com/game/...-vs-...-0022300099/play-by-play?watchFullGame=true", "LAC vs SAS - Q1 03:08.00")</f>
        <v>LAC vs SAS - Q1 03:08.00</v>
      </c>
      <c r="M834">
        <v>23.16</v>
      </c>
      <c r="N834">
        <v>90.85</v>
      </c>
      <c r="O834">
        <v>95.83</v>
      </c>
      <c r="P834">
        <v>229</v>
      </c>
      <c r="Q834">
        <v>34</v>
      </c>
      <c r="R834">
        <v>90</v>
      </c>
      <c r="S834">
        <v>95</v>
      </c>
      <c r="T834" t="s">
        <v>58</v>
      </c>
    </row>
    <row r="835" spans="1:20" x14ac:dyDescent="0.25">
      <c r="A835">
        <v>22201041</v>
      </c>
      <c r="B835" t="s">
        <v>4</v>
      </c>
      <c r="C835" t="s">
        <v>64</v>
      </c>
      <c r="D835">
        <v>115</v>
      </c>
      <c r="E835">
        <v>104</v>
      </c>
      <c r="F835">
        <v>11</v>
      </c>
      <c r="G835">
        <v>4</v>
      </c>
      <c r="H835" s="1">
        <v>4.9189814814814816E-3</v>
      </c>
      <c r="I835">
        <v>2022</v>
      </c>
      <c r="J835" t="s">
        <v>59</v>
      </c>
      <c r="K835" s="2" t="str">
        <f>HYPERLINK("https://www.nba.com/stats/events?CFID=&amp;CFPARAMS=&amp;GameEventID=568&amp;GameID=0022201041&amp;Season=2022-23&amp;flag=1&amp;title=I.%20Zubac%20reverse%20Layup%20(13%20PTS)%20(K.%20Leonard%205%20AST)", "I. Zubac reverse Layup (13 PTS) (K. Leonard 5 AST)")</f>
        <v>I. Zubac reverse Layup (13 PTS) (K. Leonard 5 AST)</v>
      </c>
      <c r="L835" s="2" t="str">
        <f>HYPERLINK("https://www.nba.com/game/...-vs-...-0022201041/play-by-play?watchFullGame=true", "LAC vs GSW - Q4 07:05.00")</f>
        <v>LAC vs GSW - Q4 07:05.00</v>
      </c>
      <c r="M835">
        <v>3.75</v>
      </c>
      <c r="N835">
        <v>90.46</v>
      </c>
      <c r="O835">
        <v>50.98</v>
      </c>
      <c r="P835">
        <v>5</v>
      </c>
      <c r="Q835">
        <v>37</v>
      </c>
      <c r="R835">
        <v>90</v>
      </c>
      <c r="S835">
        <v>50</v>
      </c>
      <c r="T835" t="s">
        <v>58</v>
      </c>
    </row>
    <row r="836" spans="1:20" x14ac:dyDescent="0.25">
      <c r="A836">
        <v>22200223</v>
      </c>
      <c r="B836" t="s">
        <v>10</v>
      </c>
      <c r="C836" t="s">
        <v>9</v>
      </c>
      <c r="D836">
        <v>30</v>
      </c>
      <c r="E836">
        <v>30</v>
      </c>
      <c r="F836">
        <v>0</v>
      </c>
      <c r="G836">
        <v>2</v>
      </c>
      <c r="H836" s="1">
        <v>4.340277777777778E-3</v>
      </c>
      <c r="I836">
        <v>2022</v>
      </c>
      <c r="J836" t="s">
        <v>59</v>
      </c>
      <c r="K836" s="2" t="str">
        <f>HYPERLINK("https://www.nba.com/stats/events?CFID=&amp;CFPARAMS=&amp;GameEventID=249&amp;GameID=0022200223&amp;Season=2022-23&amp;flag=1&amp;title=P.%20George%203PT%20%20(6%20PTS)%20(K.%20Leonard%202%20AST)", "P. George 3PT  (6 PTS) (K. Leonard 2 AST)")</f>
        <v>P. George 3PT  (6 PTS) (K. Leonard 2 AST)</v>
      </c>
      <c r="L836" s="2" t="str">
        <f>HYPERLINK("https://www.nba.com/game/...-vs-...-0022200223/play-by-play?watchFullGame=true", "LAC vs DET - Q2 06:15.00")</f>
        <v>LAC vs DET - Q2 06:15.00</v>
      </c>
      <c r="M836">
        <v>23.26</v>
      </c>
      <c r="N836">
        <v>90.19</v>
      </c>
      <c r="O836">
        <v>95.83</v>
      </c>
      <c r="P836">
        <v>229</v>
      </c>
      <c r="Q836">
        <v>40</v>
      </c>
      <c r="R836">
        <v>90</v>
      </c>
      <c r="S836">
        <v>95</v>
      </c>
      <c r="T836" t="s">
        <v>58</v>
      </c>
    </row>
    <row r="837" spans="1:20" x14ac:dyDescent="0.25">
      <c r="A837">
        <v>22200363</v>
      </c>
      <c r="B837" t="s">
        <v>10</v>
      </c>
      <c r="C837" t="s">
        <v>9</v>
      </c>
      <c r="D837">
        <v>111</v>
      </c>
      <c r="E837">
        <v>110</v>
      </c>
      <c r="F837">
        <v>1</v>
      </c>
      <c r="G837">
        <v>5</v>
      </c>
      <c r="H837" s="1">
        <v>5.6944444444444447E-4</v>
      </c>
      <c r="I837">
        <v>2022</v>
      </c>
      <c r="J837" t="s">
        <v>59</v>
      </c>
      <c r="K837" s="2" t="str">
        <f>HYPERLINK("https://www.nba.com/stats/events?CFID=&amp;CFPARAMS=&amp;GameEventID=723&amp;GameID=0022200363&amp;Season=2022-23&amp;flag=1&amp;title=N.%20Batum%2024'%203PT%20%20(16%20PTS)%20(K.%20Leonard%203%20AST)", "N. Batum 24' 3PT  (16 PTS) (K. Leonard 3 AST)")</f>
        <v>N. Batum 24' 3PT  (16 PTS) (K. Leonard 3 AST)</v>
      </c>
      <c r="L837" s="2" t="str">
        <f>HYPERLINK("https://www.nba.com/game/...-vs-...-0022200363/play-by-play?watchFullGame=true", "LAC vs ORL - Q5 00:49.20")</f>
        <v>LAC vs ORL - Q5 00:49.20</v>
      </c>
      <c r="M837">
        <v>24.09</v>
      </c>
      <c r="N837">
        <v>90.23</v>
      </c>
      <c r="O837">
        <v>97.55</v>
      </c>
      <c r="P837">
        <v>238</v>
      </c>
      <c r="Q837">
        <v>39</v>
      </c>
      <c r="R837">
        <v>90</v>
      </c>
      <c r="S837">
        <v>97</v>
      </c>
      <c r="T837" t="s">
        <v>58</v>
      </c>
    </row>
    <row r="838" spans="1:20" x14ac:dyDescent="0.25">
      <c r="A838">
        <v>22200476</v>
      </c>
      <c r="B838" t="s">
        <v>10</v>
      </c>
      <c r="C838" t="s">
        <v>9</v>
      </c>
      <c r="D838">
        <v>18</v>
      </c>
      <c r="E838">
        <v>8</v>
      </c>
      <c r="F838">
        <v>10</v>
      </c>
      <c r="G838">
        <v>1</v>
      </c>
      <c r="H838" s="1">
        <v>4.2592592592592595E-3</v>
      </c>
      <c r="I838">
        <v>2022</v>
      </c>
      <c r="J838" t="s">
        <v>59</v>
      </c>
      <c r="K838" s="2" t="str">
        <f>HYPERLINK("https://www.nba.com/stats/events?CFID=&amp;CFPARAMS=&amp;GameEventID=84&amp;GameID=0022200476&amp;Season=2022-23&amp;flag=1&amp;title=N.%20Batum%203PT%20%20(3%20PTS)%20(K.%20Leonard%203%20AST)", "N. Batum 3PT  (3 PTS) (K. Leonard 3 AST)")</f>
        <v>N. Batum 3PT  (3 PTS) (K. Leonard 3 AST)</v>
      </c>
      <c r="L838" s="2" t="str">
        <f>HYPERLINK("https://www.nba.com/game/...-vs-...-0022200476/play-by-play?watchFullGame=true", "LAC vs CHA - Q1 06:08.00")</f>
        <v>LAC vs CHA - Q1 06:08.00</v>
      </c>
      <c r="M838">
        <v>22.53</v>
      </c>
      <c r="N838">
        <v>90.98</v>
      </c>
      <c r="O838">
        <v>5.39</v>
      </c>
      <c r="P838">
        <v>-223</v>
      </c>
      <c r="Q838">
        <v>32</v>
      </c>
      <c r="R838">
        <v>90</v>
      </c>
      <c r="S838">
        <v>5</v>
      </c>
      <c r="T838" t="s">
        <v>58</v>
      </c>
    </row>
    <row r="839" spans="1:20" x14ac:dyDescent="0.25">
      <c r="A839">
        <v>21900051</v>
      </c>
      <c r="B839" t="s">
        <v>10</v>
      </c>
      <c r="C839" t="s">
        <v>61</v>
      </c>
      <c r="D839">
        <v>23</v>
      </c>
      <c r="E839">
        <v>11</v>
      </c>
      <c r="F839">
        <v>12</v>
      </c>
      <c r="G839">
        <v>1</v>
      </c>
      <c r="H839" s="1">
        <v>4.2245370370370371E-3</v>
      </c>
      <c r="I839">
        <v>2019</v>
      </c>
      <c r="J839" t="s">
        <v>59</v>
      </c>
      <c r="K839" s="2" t="str">
        <f>HYPERLINK("https://www.nba.com/stats/events?CFID=&amp;CFPARAMS=&amp;GameEventID=74&amp;GameID=0021900051&amp;Season=2019-20&amp;flag=1&amp;title=[LAC]%20Shamet%203pt%20shot:%20Made%20(12%20PTS)%20assist:%20Leonard%20(1%20AST)", "[LAC] Shamet 3pt shot: Made (12 PTS) assist: Leonard (1 AST)")</f>
        <v>[LAC] Shamet 3pt shot: Made (12 PTS) assist: Leonard (1 AST)</v>
      </c>
      <c r="L839" s="2" t="str">
        <f>HYPERLINK("https://www.nba.com/game/...-vs-...-0021900051/play-by-play?watchFullGame=true", "LAC vs CHA - Q1 06:05.00")</f>
        <v>LAC vs CHA - Q1 06:05.00</v>
      </c>
      <c r="M839">
        <v>24.05</v>
      </c>
      <c r="N839">
        <v>90.19</v>
      </c>
      <c r="O839">
        <v>97.23</v>
      </c>
      <c r="P839">
        <v>236</v>
      </c>
      <c r="Q839">
        <v>40</v>
      </c>
      <c r="R839">
        <v>90</v>
      </c>
      <c r="S839">
        <v>97</v>
      </c>
      <c r="T839" t="s">
        <v>58</v>
      </c>
    </row>
    <row r="840" spans="1:20" x14ac:dyDescent="0.25">
      <c r="A840">
        <v>22200389</v>
      </c>
      <c r="B840" t="s">
        <v>4</v>
      </c>
      <c r="C840" t="s">
        <v>64</v>
      </c>
      <c r="D840">
        <v>5</v>
      </c>
      <c r="E840">
        <v>13</v>
      </c>
      <c r="F840">
        <v>8</v>
      </c>
      <c r="G840">
        <v>1</v>
      </c>
      <c r="H840" s="1">
        <v>5.7523148148148151E-3</v>
      </c>
      <c r="I840">
        <v>2022</v>
      </c>
      <c r="J840" t="s">
        <v>59</v>
      </c>
      <c r="K840" s="2" t="str">
        <f>HYPERLINK("https://www.nba.com/stats/events?CFID=&amp;CFPARAMS=&amp;GameEventID=38&amp;GameID=0022200389&amp;Season=2022-23&amp;flag=1&amp;title=J.%20Wall%20running%20Layup%20(3%20PTS)%20(K.%20Leonard%201%20AST)", "J. Wall running Layup (3 PTS) (K. Leonard 1 AST)")</f>
        <v>J. Wall running Layup (3 PTS) (K. Leonard 1 AST)</v>
      </c>
      <c r="L840" s="2" t="str">
        <f>HYPERLINK("https://www.nba.com/game/...-vs-...-0022200389/play-by-play?watchFullGame=true", "LAC vs WAS - Q1 08:17.00")</f>
        <v>LAC vs WAS - Q1 08:17.00</v>
      </c>
      <c r="M840">
        <v>3.52</v>
      </c>
      <c r="N840">
        <v>90.75</v>
      </c>
      <c r="O840">
        <v>51.47</v>
      </c>
      <c r="P840">
        <v>7</v>
      </c>
      <c r="Q840">
        <v>34</v>
      </c>
      <c r="R840">
        <v>90</v>
      </c>
      <c r="S840">
        <v>51</v>
      </c>
      <c r="T840" t="s">
        <v>58</v>
      </c>
    </row>
    <row r="841" spans="1:20" x14ac:dyDescent="0.25">
      <c r="A841">
        <v>22000799</v>
      </c>
      <c r="B841" t="s">
        <v>4</v>
      </c>
      <c r="C841" t="s">
        <v>64</v>
      </c>
      <c r="D841">
        <v>55</v>
      </c>
      <c r="E841">
        <v>44</v>
      </c>
      <c r="F841">
        <v>11</v>
      </c>
      <c r="G841">
        <v>2</v>
      </c>
      <c r="H841" s="1">
        <v>2.476851851851852E-3</v>
      </c>
      <c r="I841">
        <v>2020</v>
      </c>
      <c r="J841" t="s">
        <v>59</v>
      </c>
      <c r="K841" s="2" t="str">
        <f>HYPERLINK("https://www.nba.com/stats/events?CFID=&amp;CFPARAMS=&amp;GameEventID=294&amp;GameID=0022000799&amp;Season=2020-21&amp;flag=1&amp;title=I.%20Zubac%20Layup%20(8%20PTS)%20(K.%20Leonard%205%20AST)", "I. Zubac Layup (8 PTS) (K. Leonard 5 AST)")</f>
        <v>I. Zubac Layup (8 PTS) (K. Leonard 5 AST)</v>
      </c>
      <c r="L841" s="2" t="str">
        <f>HYPERLINK("https://www.nba.com/game/...-vs-...-0022000799/play-by-play?watchFullGame=true", "LAC vs HOU - Q2 03:34.00")</f>
        <v>LAC vs HOU - Q2 03:34.00</v>
      </c>
      <c r="M841">
        <v>4.0599999999999996</v>
      </c>
      <c r="N841">
        <v>90.1</v>
      </c>
      <c r="O841">
        <v>50.07</v>
      </c>
      <c r="P841">
        <v>90</v>
      </c>
      <c r="Q841">
        <v>41</v>
      </c>
      <c r="R841">
        <v>90</v>
      </c>
      <c r="S841">
        <v>50</v>
      </c>
      <c r="T841" t="s">
        <v>58</v>
      </c>
    </row>
    <row r="842" spans="1:20" x14ac:dyDescent="0.25">
      <c r="A842">
        <v>22000756</v>
      </c>
      <c r="B842" t="s">
        <v>4</v>
      </c>
      <c r="C842" t="s">
        <v>64</v>
      </c>
      <c r="D842">
        <v>44</v>
      </c>
      <c r="E842">
        <v>30</v>
      </c>
      <c r="F842">
        <v>14</v>
      </c>
      <c r="G842">
        <v>2</v>
      </c>
      <c r="H842" s="1">
        <v>2.662037037037037E-3</v>
      </c>
      <c r="I842">
        <v>2020</v>
      </c>
      <c r="J842" t="s">
        <v>59</v>
      </c>
      <c r="K842" s="2" t="str">
        <f>HYPERLINK("https://www.nba.com/stats/events?CFID=&amp;CFPARAMS=&amp;GameEventID=268&amp;GameID=0022000756&amp;Season=2020-21&amp;flag=1&amp;title=I.%20Zubac%20Layup%20(4%20PTS)%20(K.%20Leonard%203%20AST)", "I. Zubac Layup (4 PTS) (K. Leonard 3 AST)")</f>
        <v>I. Zubac Layup (4 PTS) (K. Leonard 3 AST)</v>
      </c>
      <c r="L842" s="2" t="str">
        <f>HYPERLINK("https://www.nba.com/game/...-vs-...-0022000756/play-by-play?watchFullGame=true", "LAC vs LAL - Q2 03:50.00")</f>
        <v>LAC vs LAL - Q2 03:50.00</v>
      </c>
      <c r="M842">
        <v>3.9</v>
      </c>
      <c r="N842">
        <v>90.88</v>
      </c>
      <c r="O842">
        <v>45.9</v>
      </c>
      <c r="P842">
        <v>-20</v>
      </c>
      <c r="Q842">
        <v>33</v>
      </c>
      <c r="R842">
        <v>90</v>
      </c>
      <c r="S842">
        <v>45</v>
      </c>
      <c r="T842" t="s">
        <v>58</v>
      </c>
    </row>
    <row r="843" spans="1:20" x14ac:dyDescent="0.25">
      <c r="A843">
        <v>22300257</v>
      </c>
      <c r="B843" t="s">
        <v>4</v>
      </c>
      <c r="C843" t="s">
        <v>64</v>
      </c>
      <c r="D843">
        <v>44</v>
      </c>
      <c r="E843">
        <v>43</v>
      </c>
      <c r="F843">
        <v>1</v>
      </c>
      <c r="G843">
        <v>2</v>
      </c>
      <c r="H843" s="1">
        <v>4.4560185185185189E-3</v>
      </c>
      <c r="I843">
        <v>2023</v>
      </c>
      <c r="J843" t="s">
        <v>59</v>
      </c>
      <c r="K843" s="2" t="str">
        <f>HYPERLINK("https://www.nba.com/stats/events?CFID=&amp;CFPARAMS=&amp;GameEventID=250&amp;GameID=0022300257&amp;Season=2023-24&amp;flag=1&amp;title=I.%20Zubac%20cutting%20finger%20roll%20Layup%20(9%20PTS)%20(K.%20Leonard%201%20AST)", "I. Zubac cutting finger roll Layup (9 PTS) (K. Leonard 1 AST)")</f>
        <v>I. Zubac cutting finger roll Layup (9 PTS) (K. Leonard 1 AST)</v>
      </c>
      <c r="L843" s="2" t="str">
        <f>HYPERLINK("https://www.nba.com/game/...-vs-...-0022300257/play-by-play?watchFullGame=true", "LAC vs DEN - Q2 06:25.00")</f>
        <v>LAC vs DEN - Q2 06:25.00</v>
      </c>
      <c r="M843">
        <v>4.21</v>
      </c>
      <c r="N843">
        <v>90.98</v>
      </c>
      <c r="O843">
        <v>55.39</v>
      </c>
      <c r="P843">
        <v>27</v>
      </c>
      <c r="Q843">
        <v>32</v>
      </c>
      <c r="R843">
        <v>90</v>
      </c>
      <c r="S843">
        <v>55</v>
      </c>
      <c r="T843" t="s">
        <v>58</v>
      </c>
    </row>
    <row r="844" spans="1:20" x14ac:dyDescent="0.25">
      <c r="A844">
        <v>22001047</v>
      </c>
      <c r="B844" t="s">
        <v>10</v>
      </c>
      <c r="C844" t="s">
        <v>9</v>
      </c>
      <c r="D844">
        <v>59</v>
      </c>
      <c r="E844">
        <v>58</v>
      </c>
      <c r="F844">
        <v>1</v>
      </c>
      <c r="G844">
        <v>3</v>
      </c>
      <c r="H844" s="1">
        <v>5.1967592592592595E-3</v>
      </c>
      <c r="I844">
        <v>2020</v>
      </c>
      <c r="J844" t="s">
        <v>59</v>
      </c>
      <c r="K844" s="2" t="str">
        <f>HYPERLINK("https://www.nba.com/stats/events?CFID=&amp;CFPARAMS=&amp;GameEventID=350&amp;GameID=0022001047&amp;Season=2020-21&amp;flag=1&amp;title=P.%20George%203PT%20%20(12%20PTS)%20(K.%20Leonard%207%20AST)", "P. George 3PT  (12 PTS) (K. Leonard 7 AST)")</f>
        <v>P. George 3PT  (12 PTS) (K. Leonard 7 AST)</v>
      </c>
      <c r="L844" s="2" t="str">
        <f>HYPERLINK("https://www.nba.com/game/...-vs-...-0022001047/play-by-play?watchFullGame=true", "LAC vs CHA - Q3 07:29.00")</f>
        <v>LAC vs CHA - Q3 07:29.00</v>
      </c>
      <c r="M844">
        <v>23.06</v>
      </c>
      <c r="N844">
        <v>90.49</v>
      </c>
      <c r="O844">
        <v>4.4800000000000004</v>
      </c>
      <c r="P844">
        <v>-228</v>
      </c>
      <c r="Q844">
        <v>37</v>
      </c>
      <c r="R844">
        <v>90</v>
      </c>
      <c r="S844">
        <v>4</v>
      </c>
      <c r="T844" t="s">
        <v>58</v>
      </c>
    </row>
    <row r="845" spans="1:20" x14ac:dyDescent="0.25">
      <c r="A845">
        <v>22200408</v>
      </c>
      <c r="B845" t="s">
        <v>4</v>
      </c>
      <c r="C845" t="s">
        <v>64</v>
      </c>
      <c r="D845">
        <v>2</v>
      </c>
      <c r="E845">
        <v>0</v>
      </c>
      <c r="F845">
        <v>2</v>
      </c>
      <c r="G845">
        <v>1</v>
      </c>
      <c r="H845" s="1">
        <v>8.0324074074074082E-3</v>
      </c>
      <c r="I845">
        <v>2022</v>
      </c>
      <c r="J845" t="s">
        <v>59</v>
      </c>
      <c r="K845" s="2" t="str">
        <f>HYPERLINK("https://www.nba.com/stats/events?CFID=&amp;CFPARAMS=&amp;GameEventID=7&amp;GameID=0022200408&amp;Season=2022-23&amp;flag=1&amp;title=R.%20Jackson%20driving%20finger%20roll%20Layup%20(2%20PTS)%20(K.%20Leonard%201%20AST)", "R. Jackson driving finger roll Layup (2 PTS) (K. Leonard 1 AST)")</f>
        <v>R. Jackson driving finger roll Layup (2 PTS) (K. Leonard 1 AST)</v>
      </c>
      <c r="L845" s="2" t="str">
        <f>HYPERLINK("https://www.nba.com/game/...-vs-...-0022200408/play-by-play?watchFullGame=true", "LAC vs BOS - Q1 11:34.00")</f>
        <v>LAC vs BOS - Q1 11:34.00</v>
      </c>
      <c r="M845">
        <v>4.71</v>
      </c>
      <c r="N845">
        <v>90.06</v>
      </c>
      <c r="O845">
        <v>45.34</v>
      </c>
      <c r="P845">
        <v>-23</v>
      </c>
      <c r="Q845">
        <v>41</v>
      </c>
      <c r="R845">
        <v>90</v>
      </c>
      <c r="S845">
        <v>45</v>
      </c>
      <c r="T845" t="s">
        <v>58</v>
      </c>
    </row>
    <row r="846" spans="1:20" x14ac:dyDescent="0.25">
      <c r="A846">
        <v>22200408</v>
      </c>
      <c r="B846" t="s">
        <v>4</v>
      </c>
      <c r="C846" t="s">
        <v>64</v>
      </c>
      <c r="D846">
        <v>6</v>
      </c>
      <c r="E846">
        <v>7</v>
      </c>
      <c r="F846">
        <v>1</v>
      </c>
      <c r="G846">
        <v>1</v>
      </c>
      <c r="H846" s="1">
        <v>6.4351851851851853E-3</v>
      </c>
      <c r="I846">
        <v>2022</v>
      </c>
      <c r="J846" t="s">
        <v>59</v>
      </c>
      <c r="K846" s="2" t="str">
        <f>HYPERLINK("https://www.nba.com/stats/events?CFID=&amp;CFPARAMS=&amp;GameEventID=38&amp;GameID=0022200408&amp;Season=2022-23&amp;flag=1&amp;title=P.%20George%20driving%20Layup%20(2%20PTS)%20(K.%20Leonard%202%20AST)", "P. George driving Layup (2 PTS) (K. Leonard 2 AST)")</f>
        <v>P. George driving Layup (2 PTS) (K. Leonard 2 AST)</v>
      </c>
      <c r="L846" s="2" t="str">
        <f>HYPERLINK("https://www.nba.com/game/...-vs-...-0022200408/play-by-play?watchFullGame=true", "LAC vs BOS - Q1 09:16.00")</f>
        <v>LAC vs BOS - Q1 09:16.00</v>
      </c>
      <c r="M846">
        <v>3.46</v>
      </c>
      <c r="N846">
        <v>90.98</v>
      </c>
      <c r="O846">
        <v>52.45</v>
      </c>
      <c r="P846">
        <v>12</v>
      </c>
      <c r="Q846">
        <v>32</v>
      </c>
      <c r="R846">
        <v>90</v>
      </c>
      <c r="S846">
        <v>52</v>
      </c>
      <c r="T846" t="s">
        <v>58</v>
      </c>
    </row>
    <row r="847" spans="1:20" x14ac:dyDescent="0.25">
      <c r="A847">
        <v>22301017</v>
      </c>
      <c r="B847" t="s">
        <v>10</v>
      </c>
      <c r="C847" t="s">
        <v>9</v>
      </c>
      <c r="D847">
        <v>42</v>
      </c>
      <c r="E847">
        <v>27</v>
      </c>
      <c r="F847">
        <v>15</v>
      </c>
      <c r="G847">
        <v>1</v>
      </c>
      <c r="H847" s="1">
        <v>5.1041666666666672E-4</v>
      </c>
      <c r="I847">
        <v>2023</v>
      </c>
      <c r="J847" t="s">
        <v>59</v>
      </c>
      <c r="K847" s="2" t="str">
        <f>HYPERLINK("https://www.nba.com/stats/events?CFID=&amp;CFPARAMS=&amp;GameEventID=156&amp;GameID=0022301017&amp;Season=2023-24&amp;flag=1&amp;title=A.%20Coffey%203PT%20%20(3%20PTS)%20(K.%20Leonard%202%20AST)", "A. Coffey 3PT  (3 PTS) (K. Leonard 2 AST)")</f>
        <v>A. Coffey 3PT  (3 PTS) (K. Leonard 2 AST)</v>
      </c>
      <c r="L847" s="2" t="str">
        <f>HYPERLINK("https://www.nba.com/game/...-vs-...-0022301017/play-by-play?watchFullGame=true", "LAC vs POR - Q1 00:44.10")</f>
        <v>LAC vs POR - Q1 00:44.10</v>
      </c>
      <c r="M847">
        <v>23.55</v>
      </c>
      <c r="N847">
        <v>90.62</v>
      </c>
      <c r="O847">
        <v>96.57</v>
      </c>
      <c r="P847">
        <v>233</v>
      </c>
      <c r="Q847">
        <v>36</v>
      </c>
      <c r="R847">
        <v>90</v>
      </c>
      <c r="S847">
        <v>96</v>
      </c>
      <c r="T847" t="s">
        <v>58</v>
      </c>
    </row>
    <row r="848" spans="1:20" x14ac:dyDescent="0.25">
      <c r="A848">
        <v>42000171</v>
      </c>
      <c r="B848" t="s">
        <v>4</v>
      </c>
      <c r="C848" t="s">
        <v>65</v>
      </c>
      <c r="D848">
        <v>47</v>
      </c>
      <c r="E848">
        <v>47</v>
      </c>
      <c r="F848">
        <v>0</v>
      </c>
      <c r="G848">
        <v>2</v>
      </c>
      <c r="H848" s="1">
        <v>3.472222222222222E-3</v>
      </c>
      <c r="I848" t="s">
        <v>66</v>
      </c>
      <c r="J848" t="s">
        <v>59</v>
      </c>
      <c r="K848" s="2" t="str">
        <f>HYPERLINK("https://www.nba.com/stats/events?CFID=&amp;CFPARAMS=&amp;GameEventID=244&amp;GameID=0042000171&amp;Season=2020-21&amp;flag=1&amp;title=I.%20Zubac%20cutting%20DUNK%20(8%20PTS)%20(K.%20Leonard%203%20AST)", "I. Zubac cutting DUNK (8 PTS) (K. Leonard 3 AST)")</f>
        <v>I. Zubac cutting DUNK (8 PTS) (K. Leonard 3 AST)</v>
      </c>
      <c r="L848" s="2" t="str">
        <f>HYPERLINK("https://www.nba.com/game/...-vs-...-0042000171/play-by-play?watchFullGame=true", "LAC vs DAL - Q2 05:00.00")</f>
        <v>LAC vs DAL - Q2 05:00.00</v>
      </c>
      <c r="M848">
        <v>4.0999999999999996</v>
      </c>
      <c r="N848">
        <v>90.23</v>
      </c>
      <c r="O848">
        <v>52.27</v>
      </c>
      <c r="P848">
        <v>90</v>
      </c>
      <c r="Q848">
        <v>52</v>
      </c>
      <c r="R848">
        <v>90</v>
      </c>
      <c r="S848">
        <v>52</v>
      </c>
      <c r="T848" t="s">
        <v>58</v>
      </c>
    </row>
    <row r="849" spans="1:20" x14ac:dyDescent="0.25">
      <c r="A849">
        <v>42000223</v>
      </c>
      <c r="B849" t="s">
        <v>10</v>
      </c>
      <c r="C849" t="s">
        <v>9</v>
      </c>
      <c r="D849">
        <v>94</v>
      </c>
      <c r="E849">
        <v>80</v>
      </c>
      <c r="F849">
        <v>14</v>
      </c>
      <c r="G849">
        <v>3</v>
      </c>
      <c r="H849" s="1">
        <v>1.0763888888888889E-3</v>
      </c>
      <c r="I849" t="s">
        <v>71</v>
      </c>
      <c r="J849" t="s">
        <v>59</v>
      </c>
      <c r="K849" s="2" t="str">
        <f>HYPERLINK("https://www.nba.com/stats/events?CFID=&amp;CFPARAMS=&amp;GameEventID=424&amp;GameID=0042000223&amp;Season=2020-21&amp;flag=1&amp;title=L.%20Kennard%203PT%20%20(3%20PTS)%20(K.%20Leonard%204%20AST)", "L. Kennard 3PT  (3 PTS) (K. Leonard 4 AST)")</f>
        <v>L. Kennard 3PT  (3 PTS) (K. Leonard 4 AST)</v>
      </c>
      <c r="L849" s="2" t="str">
        <f>HYPERLINK("https://www.nba.com/game/...-vs-...-0042000223/play-by-play?watchFullGame=true", "LAC vs UTA - Q3 01:33.00")</f>
        <v>LAC vs UTA - Q3 01:33.00</v>
      </c>
      <c r="M849">
        <v>23.09</v>
      </c>
      <c r="N849">
        <v>90.8</v>
      </c>
      <c r="O849">
        <v>4.32</v>
      </c>
      <c r="P849">
        <v>90</v>
      </c>
      <c r="Q849">
        <v>4</v>
      </c>
      <c r="R849">
        <v>90</v>
      </c>
      <c r="S849">
        <v>4</v>
      </c>
      <c r="T849" t="s">
        <v>58</v>
      </c>
    </row>
    <row r="850" spans="1:20" x14ac:dyDescent="0.25">
      <c r="A850">
        <v>22300343</v>
      </c>
      <c r="B850" t="s">
        <v>4</v>
      </c>
      <c r="C850" t="s">
        <v>9</v>
      </c>
      <c r="D850">
        <v>22</v>
      </c>
      <c r="E850">
        <v>18</v>
      </c>
      <c r="F850">
        <v>4</v>
      </c>
      <c r="G850">
        <v>1</v>
      </c>
      <c r="H850" s="1">
        <v>3.425925925925926E-3</v>
      </c>
      <c r="I850">
        <v>2023</v>
      </c>
      <c r="J850" t="s">
        <v>59</v>
      </c>
      <c r="K850" s="2" t="str">
        <f>HYPERLINK("https://www.nba.com/stats/events?CFID=&amp;CFPARAMS=&amp;GameEventID=96&amp;GameID=0022300343&amp;Season=2023-24&amp;flag=1&amp;title=N.%20Powell%20driving%20floating%20Jump%20Shot%20(2%20PTS)%20(K.%20Leonard%201%20AST)", "N. Powell driving floating Jump Shot (2 PTS) (K. Leonard 1 AST)")</f>
        <v>N. Powell driving floating Jump Shot (2 PTS) (K. Leonard 1 AST)</v>
      </c>
      <c r="L850" s="2" t="str">
        <f>HYPERLINK("https://www.nba.com/game/...-vs-...-0022300343/play-by-play?watchFullGame=true", "LAC vs NYK - Q1 04:56.00")</f>
        <v>LAC vs NYK - Q1 04:56.00</v>
      </c>
      <c r="M850">
        <v>4.4000000000000004</v>
      </c>
      <c r="N850">
        <v>90.72</v>
      </c>
      <c r="O850">
        <v>44.61</v>
      </c>
      <c r="P850">
        <v>-27</v>
      </c>
      <c r="Q850">
        <v>35</v>
      </c>
      <c r="R850">
        <v>90</v>
      </c>
      <c r="S850">
        <v>44</v>
      </c>
      <c r="T850" t="s">
        <v>58</v>
      </c>
    </row>
    <row r="851" spans="1:20" x14ac:dyDescent="0.25">
      <c r="A851">
        <v>42000171</v>
      </c>
      <c r="B851" t="s">
        <v>4</v>
      </c>
      <c r="C851" t="s">
        <v>9</v>
      </c>
      <c r="D851">
        <v>53</v>
      </c>
      <c r="E851">
        <v>49</v>
      </c>
      <c r="F851">
        <v>4</v>
      </c>
      <c r="G851">
        <v>2</v>
      </c>
      <c r="H851" s="1">
        <v>2.4537037037037036E-3</v>
      </c>
      <c r="I851" t="s">
        <v>66</v>
      </c>
      <c r="J851" t="s">
        <v>59</v>
      </c>
      <c r="K851" s="2" t="str">
        <f>HYPERLINK("https://www.nba.com/stats/events?CFID=&amp;CFPARAMS=&amp;GameEventID=263&amp;GameID=0042000171&amp;Season=2020-21&amp;flag=1&amp;title=P.%20Beverley%20floating%20Jump%20Shot%20(4%20PTS)%20(K.%20Leonard%204%20AST)", "P. Beverley floating Jump Shot (4 PTS) (K. Leonard 4 AST)")</f>
        <v>P. Beverley floating Jump Shot (4 PTS) (K. Leonard 4 AST)</v>
      </c>
      <c r="L851" s="2" t="str">
        <f>HYPERLINK("https://www.nba.com/game/...-vs-...-0042000171/play-by-play?watchFullGame=true", "LAC vs DAL - Q2 03:32.00")</f>
        <v>LAC vs DAL - Q2 03:32.00</v>
      </c>
      <c r="M851">
        <v>5.07</v>
      </c>
      <c r="N851">
        <v>90.1</v>
      </c>
      <c r="O851">
        <v>43.94</v>
      </c>
      <c r="P851">
        <v>90</v>
      </c>
      <c r="Q851">
        <v>43</v>
      </c>
      <c r="R851">
        <v>90</v>
      </c>
      <c r="S851">
        <v>43</v>
      </c>
      <c r="T851" t="s">
        <v>58</v>
      </c>
    </row>
    <row r="852" spans="1:20" x14ac:dyDescent="0.25">
      <c r="A852">
        <v>22300568</v>
      </c>
      <c r="B852" t="s">
        <v>4</v>
      </c>
      <c r="C852" t="s">
        <v>65</v>
      </c>
      <c r="D852">
        <v>20</v>
      </c>
      <c r="E852">
        <v>18</v>
      </c>
      <c r="F852">
        <v>2</v>
      </c>
      <c r="G852">
        <v>1</v>
      </c>
      <c r="H852" s="1">
        <v>4.3287037037037035E-3</v>
      </c>
      <c r="I852">
        <v>2023</v>
      </c>
      <c r="J852" t="s">
        <v>59</v>
      </c>
      <c r="K852" s="2" t="str">
        <f>HYPERLINK("https://www.nba.com/stats/events?CFID=&amp;CFPARAMS=&amp;GameEventID=61&amp;GameID=0022300568&amp;Season=2023-24&amp;flag=1&amp;title=M.%20Plumlee%20cutting%20DUNK%20(6%20PTS)%20(K.%20Leonard%203%20AST)", "M. Plumlee cutting DUNK (6 PTS) (K. Leonard 3 AST)")</f>
        <v>M. Plumlee cutting DUNK (6 PTS) (K. Leonard 3 AST)</v>
      </c>
      <c r="L852" s="2" t="str">
        <f>HYPERLINK("https://www.nba.com/game/...-vs-...-0022300568/play-by-play?watchFullGame=true", "LAC vs OKC - Q1 06:14.00")</f>
        <v>LAC vs OKC - Q1 06:14.00</v>
      </c>
      <c r="M852">
        <v>3.41</v>
      </c>
      <c r="N852">
        <v>90.98</v>
      </c>
      <c r="O852">
        <v>47.79</v>
      </c>
      <c r="P852">
        <v>-11</v>
      </c>
      <c r="Q852">
        <v>32</v>
      </c>
      <c r="R852">
        <v>90</v>
      </c>
      <c r="S852">
        <v>47</v>
      </c>
      <c r="T852" t="s">
        <v>58</v>
      </c>
    </row>
    <row r="853" spans="1:20" x14ac:dyDescent="0.25">
      <c r="A853">
        <v>42200172</v>
      </c>
      <c r="B853" t="s">
        <v>10</v>
      </c>
      <c r="C853" t="s">
        <v>9</v>
      </c>
      <c r="D853">
        <v>29</v>
      </c>
      <c r="E853">
        <v>22</v>
      </c>
      <c r="F853">
        <v>7</v>
      </c>
      <c r="G853">
        <v>1</v>
      </c>
      <c r="H853" s="1">
        <v>1.9328703703703703E-4</v>
      </c>
      <c r="I853" t="s">
        <v>67</v>
      </c>
      <c r="J853" t="s">
        <v>59</v>
      </c>
      <c r="K853" s="2" t="str">
        <f>HYPERLINK("https://www.nba.com/stats/events?CFID=&amp;CFPARAMS=&amp;GameEventID=154&amp;GameID=0042200172&amp;Season=2022-23&amp;flag=1&amp;title=T.%20Mann%203PT%20%20(6%20PTS)%20(K.%20Leonard%205%20AST)", "T. Mann 3PT  (6 PTS) (K. Leonard 5 AST)")</f>
        <v>T. Mann 3PT  (6 PTS) (K. Leonard 5 AST)</v>
      </c>
      <c r="L853" s="2" t="str">
        <f>HYPERLINK("https://www.nba.com/game/...-vs-...-0042200172/play-by-play?watchFullGame=true", "LAC vs PHX - Q1 00:16.70")</f>
        <v>LAC vs PHX - Q1 00:16.70</v>
      </c>
      <c r="M853">
        <v>23.92</v>
      </c>
      <c r="N853">
        <v>90.62</v>
      </c>
      <c r="O853">
        <v>97.3</v>
      </c>
      <c r="P853">
        <v>90</v>
      </c>
      <c r="Q853">
        <v>97</v>
      </c>
      <c r="R853">
        <v>90</v>
      </c>
      <c r="S853">
        <v>97</v>
      </c>
      <c r="T853" t="s">
        <v>58</v>
      </c>
    </row>
    <row r="854" spans="1:20" x14ac:dyDescent="0.25">
      <c r="A854">
        <v>22300848</v>
      </c>
      <c r="B854" t="s">
        <v>4</v>
      </c>
      <c r="C854" t="s">
        <v>65</v>
      </c>
      <c r="D854">
        <v>12</v>
      </c>
      <c r="E854">
        <v>8</v>
      </c>
      <c r="F854">
        <v>4</v>
      </c>
      <c r="G854">
        <v>1</v>
      </c>
      <c r="H854" s="1">
        <v>5.185185185185185E-3</v>
      </c>
      <c r="I854">
        <v>2023</v>
      </c>
      <c r="J854" t="s">
        <v>59</v>
      </c>
      <c r="K854" s="2" t="str">
        <f>HYPERLINK("https://www.nba.com/stats/events?CFID=&amp;CFPARAMS=&amp;GameEventID=48&amp;GameID=0022300848&amp;Season=2023-24&amp;flag=1&amp;title=T.%20Mann%20driving%20DUNK%20(4%20PTS)%20(K.%20Leonard%202%20AST)", "T. Mann driving DUNK (4 PTS) (K. Leonard 2 AST)")</f>
        <v>T. Mann driving DUNK (4 PTS) (K. Leonard 2 AST)</v>
      </c>
      <c r="L854" s="2" t="str">
        <f>HYPERLINK("https://www.nba.com/game/...-vs-...-0022300848/play-by-play?watchFullGame=true", "LAC vs LAL - Q1 07:28.00")</f>
        <v>LAC vs LAL - Q1 07:28.00</v>
      </c>
      <c r="M854">
        <v>3.85</v>
      </c>
      <c r="N854">
        <v>90.46</v>
      </c>
      <c r="O854">
        <v>51.96</v>
      </c>
      <c r="P854">
        <v>10</v>
      </c>
      <c r="Q854">
        <v>37</v>
      </c>
      <c r="R854">
        <v>90</v>
      </c>
      <c r="S854">
        <v>51</v>
      </c>
      <c r="T854" t="s">
        <v>58</v>
      </c>
    </row>
    <row r="855" spans="1:20" x14ac:dyDescent="0.25">
      <c r="A855">
        <v>21901307</v>
      </c>
      <c r="B855" t="s">
        <v>10</v>
      </c>
      <c r="C855" t="s">
        <v>61</v>
      </c>
      <c r="D855">
        <v>68</v>
      </c>
      <c r="E855">
        <v>63</v>
      </c>
      <c r="F855">
        <v>5</v>
      </c>
      <c r="G855">
        <v>3</v>
      </c>
      <c r="H855" s="1">
        <v>5.324074074074074E-3</v>
      </c>
      <c r="I855">
        <v>2019</v>
      </c>
      <c r="J855" t="s">
        <v>59</v>
      </c>
      <c r="K855" s="2" t="str">
        <f>HYPERLINK("https://www.nba.com/stats/events?CFID=&amp;CFPARAMS=&amp;GameEventID=375&amp;GameID=0021901307&amp;Season=2019-20&amp;flag=1&amp;title=P.%20George%2023'%203PT%20%20(13%20PTS)%20(K.%20Leonard%203%20AST)", "P. George 23' 3PT  (13 PTS) (K. Leonard 3 AST)")</f>
        <v>P. George 23' 3PT  (13 PTS) (K. Leonard 3 AST)</v>
      </c>
      <c r="L855" s="2" t="str">
        <f>HYPERLINK("https://www.nba.com/game/...-vs-...-0021901307/play-by-play?watchFullGame=true", "LAC vs DEN - Q3 07:40.00")</f>
        <v>LAC vs DEN - Q3 07:40.00</v>
      </c>
      <c r="M855">
        <v>23.08</v>
      </c>
      <c r="N855">
        <v>90.23</v>
      </c>
      <c r="O855">
        <v>4.7300000000000004</v>
      </c>
      <c r="P855">
        <v>-226</v>
      </c>
      <c r="Q855">
        <v>39</v>
      </c>
      <c r="R855">
        <v>90</v>
      </c>
      <c r="S855">
        <v>4</v>
      </c>
      <c r="T855" t="s">
        <v>58</v>
      </c>
    </row>
    <row r="856" spans="1:20" x14ac:dyDescent="0.25">
      <c r="A856">
        <v>22200829</v>
      </c>
      <c r="B856" t="s">
        <v>10</v>
      </c>
      <c r="C856" t="s">
        <v>9</v>
      </c>
      <c r="D856">
        <v>16</v>
      </c>
      <c r="E856">
        <v>25</v>
      </c>
      <c r="F856">
        <v>9</v>
      </c>
      <c r="G856">
        <v>1</v>
      </c>
      <c r="H856" s="1">
        <v>3.7384259259259259E-3</v>
      </c>
      <c r="I856">
        <v>2022</v>
      </c>
      <c r="J856" t="s">
        <v>59</v>
      </c>
      <c r="K856" s="2" t="str">
        <f>HYPERLINK("https://www.nba.com/stats/events?CFID=&amp;CFPARAMS=&amp;GameEventID=66&amp;GameID=0022200829&amp;Season=2022-23&amp;flag=1&amp;title=T.%20Mann%203PT%20%20(12%20PTS)%20(K.%20Leonard%202%20AST)", "T. Mann 3PT  (12 PTS) (K. Leonard 2 AST)")</f>
        <v>T. Mann 3PT  (12 PTS) (K. Leonard 2 AST)</v>
      </c>
      <c r="L856" s="2" t="str">
        <f>HYPERLINK("https://www.nba.com/game/...-vs-...-0022200829/play-by-play?watchFullGame=true", "LAC vs DAL - Q1 05:23.00")</f>
        <v>LAC vs DAL - Q1 05:23.00</v>
      </c>
      <c r="M856">
        <v>23.62</v>
      </c>
      <c r="N856">
        <v>90.19</v>
      </c>
      <c r="O856">
        <v>3.43</v>
      </c>
      <c r="P856">
        <v>-233</v>
      </c>
      <c r="Q856">
        <v>40</v>
      </c>
      <c r="R856">
        <v>90</v>
      </c>
      <c r="S856">
        <v>3</v>
      </c>
      <c r="T856" t="s">
        <v>58</v>
      </c>
    </row>
    <row r="857" spans="1:20" x14ac:dyDescent="0.25">
      <c r="A857">
        <v>42000177</v>
      </c>
      <c r="B857" t="s">
        <v>10</v>
      </c>
      <c r="C857" t="s">
        <v>9</v>
      </c>
      <c r="D857">
        <v>58</v>
      </c>
      <c r="E857">
        <v>51</v>
      </c>
      <c r="F857">
        <v>7</v>
      </c>
      <c r="G857">
        <v>2</v>
      </c>
      <c r="H857" s="1">
        <v>2.5578703703703705E-3</v>
      </c>
      <c r="I857" t="s">
        <v>66</v>
      </c>
      <c r="J857" t="s">
        <v>59</v>
      </c>
      <c r="K857" s="2" t="str">
        <f>HYPERLINK("https://www.nba.com/stats/events?CFID=&amp;CFPARAMS=&amp;GameEventID=271&amp;GameID=0042000177&amp;Season=2020-21&amp;flag=1&amp;title=T.%20Mann%203PT%20pullup%20(10%20PTS)%20(K.%20Leonard%204%20AST)", "T. Mann 3PT pullup (10 PTS) (K. Leonard 4 AST)")</f>
        <v>T. Mann 3PT pullup (10 PTS) (K. Leonard 4 AST)</v>
      </c>
      <c r="L857" s="2" t="str">
        <f>HYPERLINK("https://www.nba.com/game/...-vs-...-0042000177/play-by-play?watchFullGame=true", "LAC vs DAL - Q2 03:41.00")</f>
        <v>LAC vs DAL - Q2 03:41.00</v>
      </c>
      <c r="M857">
        <v>23.45</v>
      </c>
      <c r="N857">
        <v>90.75</v>
      </c>
      <c r="O857">
        <v>96.39</v>
      </c>
      <c r="P857">
        <v>90</v>
      </c>
      <c r="Q857">
        <v>96</v>
      </c>
      <c r="R857">
        <v>90</v>
      </c>
      <c r="S857">
        <v>96</v>
      </c>
      <c r="T857" t="s">
        <v>58</v>
      </c>
    </row>
    <row r="858" spans="1:20" x14ac:dyDescent="0.25">
      <c r="A858">
        <v>22300526</v>
      </c>
      <c r="B858" t="s">
        <v>4</v>
      </c>
      <c r="C858" t="s">
        <v>70</v>
      </c>
      <c r="D858">
        <v>78</v>
      </c>
      <c r="E858">
        <v>78</v>
      </c>
      <c r="F858">
        <v>0</v>
      </c>
      <c r="G858">
        <v>3</v>
      </c>
      <c r="H858" s="1">
        <v>3.8425925925925928E-3</v>
      </c>
      <c r="I858">
        <v>2023</v>
      </c>
      <c r="J858" t="s">
        <v>59</v>
      </c>
      <c r="K858" s="2" t="str">
        <f>HYPERLINK("https://www.nba.com/stats/events?CFID=&amp;CFPARAMS=&amp;GameEventID=372&amp;GameID=0022300526&amp;Season=2023-24&amp;flag=1&amp;title=I.%20Zubac%20Hook%20(12%20PTS)%20(K.%20Leonard%205%20AST)", "I. Zubac Hook (12 PTS) (K. Leonard 5 AST)")</f>
        <v>I. Zubac Hook (12 PTS) (K. Leonard 5 AST)</v>
      </c>
      <c r="L858" s="2" t="str">
        <f>HYPERLINK("https://www.nba.com/game/...-vs-...-0022300526/play-by-play?watchFullGame=true", "LAC vs TOR - Q3 05:32.00")</f>
        <v>LAC vs TOR - Q3 05:32.00</v>
      </c>
      <c r="M858">
        <v>5.56</v>
      </c>
      <c r="N858">
        <v>90.98</v>
      </c>
      <c r="O858">
        <v>40.93</v>
      </c>
      <c r="P858">
        <v>-45</v>
      </c>
      <c r="Q858">
        <v>32</v>
      </c>
      <c r="R858">
        <v>90</v>
      </c>
      <c r="S858">
        <v>40</v>
      </c>
      <c r="T858" t="s">
        <v>58</v>
      </c>
    </row>
    <row r="859" spans="1:20" x14ac:dyDescent="0.25">
      <c r="A859">
        <v>22300917</v>
      </c>
      <c r="B859" t="s">
        <v>10</v>
      </c>
      <c r="C859" t="s">
        <v>9</v>
      </c>
      <c r="D859">
        <v>83</v>
      </c>
      <c r="E859">
        <v>80</v>
      </c>
      <c r="F859">
        <v>3</v>
      </c>
      <c r="G859">
        <v>3</v>
      </c>
      <c r="H859" s="1">
        <v>7.1759259259259259E-4</v>
      </c>
      <c r="I859">
        <v>2023</v>
      </c>
      <c r="J859" t="s">
        <v>59</v>
      </c>
      <c r="K859" s="2" t="str">
        <f>HYPERLINK("https://www.nba.com/stats/events?CFID=&amp;CFPARAMS=&amp;GameEventID=453&amp;GameID=0022300917&amp;Season=2023-24&amp;flag=1&amp;title=B.%20Hyland%203PT%20%20(7%20PTS)%20(K.%20Leonard%203%20AST)", "B. Hyland 3PT  (7 PTS) (K. Leonard 3 AST)")</f>
        <v>B. Hyland 3PT  (7 PTS) (K. Leonard 3 AST)</v>
      </c>
      <c r="L859" s="2" t="str">
        <f>HYPERLINK("https://www.nba.com/game/...-vs-...-0022300917/play-by-play?watchFullGame=true", "LAC vs CHI - Q3 01:02.00")</f>
        <v>LAC vs CHI - Q3 01:02.00</v>
      </c>
      <c r="M859">
        <v>22.97</v>
      </c>
      <c r="N859">
        <v>90.46</v>
      </c>
      <c r="O859">
        <v>95.34</v>
      </c>
      <c r="P859">
        <v>227</v>
      </c>
      <c r="Q859">
        <v>37</v>
      </c>
      <c r="R859">
        <v>90</v>
      </c>
      <c r="S859">
        <v>95</v>
      </c>
      <c r="T859" t="s">
        <v>58</v>
      </c>
    </row>
    <row r="860" spans="1:20" x14ac:dyDescent="0.25">
      <c r="A860">
        <v>22300235</v>
      </c>
      <c r="B860" t="s">
        <v>4</v>
      </c>
      <c r="C860" t="s">
        <v>64</v>
      </c>
      <c r="D860">
        <v>4</v>
      </c>
      <c r="E860">
        <v>0</v>
      </c>
      <c r="F860">
        <v>4</v>
      </c>
      <c r="G860">
        <v>1</v>
      </c>
      <c r="H860" s="1">
        <v>7.8240740740740736E-3</v>
      </c>
      <c r="I860">
        <v>2023</v>
      </c>
      <c r="J860" t="s">
        <v>59</v>
      </c>
      <c r="K860" s="2" t="str">
        <f>HYPERLINK("https://www.nba.com/stats/events?CFID=&amp;CFPARAMS=&amp;GameEventID=11&amp;GameID=0022300235&amp;Season=2023-24&amp;flag=1&amp;title=T.%20Mann%20running%20Layup%20(2%20PTS)%20(K.%20Leonard%202%20AST)", "T. Mann running Layup (2 PTS) (K. Leonard 2 AST)")</f>
        <v>T. Mann running Layup (2 PTS) (K. Leonard 2 AST)</v>
      </c>
      <c r="L860" s="2" t="str">
        <f>HYPERLINK("https://www.nba.com/game/...-vs-...-0022300235/play-by-play?watchFullGame=true", "LAC vs SAS - Q1 11:16.00")</f>
        <v>LAC vs SAS - Q1 11:16.00</v>
      </c>
      <c r="M860">
        <v>2.52</v>
      </c>
      <c r="N860">
        <v>91.8</v>
      </c>
      <c r="O860">
        <v>48.77</v>
      </c>
      <c r="P860">
        <v>-6</v>
      </c>
      <c r="Q860">
        <v>25</v>
      </c>
      <c r="R860">
        <v>91</v>
      </c>
      <c r="S860">
        <v>48</v>
      </c>
      <c r="T860" t="s">
        <v>58</v>
      </c>
    </row>
    <row r="861" spans="1:20" x14ac:dyDescent="0.25">
      <c r="A861">
        <v>22000105</v>
      </c>
      <c r="B861" t="s">
        <v>10</v>
      </c>
      <c r="C861" t="s">
        <v>9</v>
      </c>
      <c r="D861">
        <v>96</v>
      </c>
      <c r="E861">
        <v>105</v>
      </c>
      <c r="F861">
        <v>9</v>
      </c>
      <c r="G861">
        <v>4</v>
      </c>
      <c r="H861" s="1">
        <v>4.6759259259259263E-3</v>
      </c>
      <c r="I861">
        <v>2020</v>
      </c>
      <c r="J861" t="s">
        <v>59</v>
      </c>
      <c r="K861" s="2" t="str">
        <f>HYPERLINK("https://www.nba.com/stats/events?CFID=&amp;CFPARAMS=&amp;GameEventID=533&amp;GameID=0022000105&amp;Season=2020-21&amp;flag=1&amp;title=P.%20Beverley%203PT%20%20(15%20PTS)%20(K.%20Leonard%208%20AST)", "P. Beverley 3PT  (15 PTS) (K. Leonard 8 AST)")</f>
        <v>P. Beverley 3PT  (15 PTS) (K. Leonard 8 AST)</v>
      </c>
      <c r="L861" s="2" t="str">
        <f>HYPERLINK("https://www.nba.com/game/...-vs-...-0022000105/play-by-play?watchFullGame=true", "LAC vs SAS - Q4 06:44.00")</f>
        <v>LAC vs SAS - Q4 06:44.00</v>
      </c>
      <c r="M861">
        <v>23.09</v>
      </c>
      <c r="N861">
        <v>91.15</v>
      </c>
      <c r="O861">
        <v>4.24</v>
      </c>
      <c r="P861">
        <v>-229</v>
      </c>
      <c r="Q861">
        <v>31</v>
      </c>
      <c r="R861">
        <v>91</v>
      </c>
      <c r="S861">
        <v>4</v>
      </c>
      <c r="T861" t="s">
        <v>58</v>
      </c>
    </row>
    <row r="862" spans="1:20" x14ac:dyDescent="0.25">
      <c r="A862">
        <v>22201096</v>
      </c>
      <c r="B862" t="s">
        <v>10</v>
      </c>
      <c r="C862" t="s">
        <v>9</v>
      </c>
      <c r="D862">
        <v>14</v>
      </c>
      <c r="E862">
        <v>18</v>
      </c>
      <c r="F862">
        <v>4</v>
      </c>
      <c r="G862">
        <v>1</v>
      </c>
      <c r="H862" s="1">
        <v>3.8541666666666668E-3</v>
      </c>
      <c r="I862">
        <v>2022</v>
      </c>
      <c r="J862" t="s">
        <v>59</v>
      </c>
      <c r="K862" s="2" t="str">
        <f>HYPERLINK("https://www.nba.com/stats/events?CFID=&amp;CFPARAMS=&amp;GameEventID=68&amp;GameID=0022201096&amp;Season=2022-23&amp;flag=1&amp;title=T.%20Mann%203PT%20%20(3%20PTS)%20(K.%20Leonard%201%20AST)", "T. Mann 3PT  (3 PTS) (K. Leonard 1 AST)")</f>
        <v>T. Mann 3PT  (3 PTS) (K. Leonard 1 AST)</v>
      </c>
      <c r="L862" s="2" t="str">
        <f>HYPERLINK("https://www.nba.com/game/...-vs-...-0022201096/play-by-play?watchFullGame=true", "LAC vs OKC - Q1 05:33.00")</f>
        <v>LAC vs OKC - Q1 05:33.00</v>
      </c>
      <c r="M862">
        <v>23.31</v>
      </c>
      <c r="N862">
        <v>91.64</v>
      </c>
      <c r="O862">
        <v>96.32</v>
      </c>
      <c r="P862">
        <v>232</v>
      </c>
      <c r="Q862">
        <v>26</v>
      </c>
      <c r="R862">
        <v>91</v>
      </c>
      <c r="S862">
        <v>96</v>
      </c>
      <c r="T862" t="s">
        <v>58</v>
      </c>
    </row>
    <row r="863" spans="1:20" x14ac:dyDescent="0.25">
      <c r="A863">
        <v>22400911</v>
      </c>
      <c r="B863" t="s">
        <v>10</v>
      </c>
      <c r="C863" t="s">
        <v>9</v>
      </c>
      <c r="D863">
        <v>36</v>
      </c>
      <c r="E863">
        <v>39</v>
      </c>
      <c r="F863">
        <v>3</v>
      </c>
      <c r="G863">
        <v>2</v>
      </c>
      <c r="H863" s="1">
        <v>5.092592592592593E-3</v>
      </c>
      <c r="I863">
        <v>2024</v>
      </c>
      <c r="J863" t="s">
        <v>59</v>
      </c>
      <c r="K863" s="2" t="str">
        <f>HYPERLINK("https://www.nba.com/stats/events?CFID=&amp;CFPARAMS=&amp;GameEventID=205&amp;GameID=0022400911&amp;Season=2024-25&amp;flag=1&amp;title=A.%20Coffey%203PT%20%20(3%20PTS)%20(K.%20Leonard%201%20AST)", "A. Coffey 3PT  (3 PTS) (K. Leonard 1 AST)")</f>
        <v>A. Coffey 3PT  (3 PTS) (K. Leonard 1 AST)</v>
      </c>
      <c r="L863" s="2" t="str">
        <f>HYPERLINK("https://www.nba.com/game/...-vs-...-0022400911/play-by-play?watchFullGame=true", "LAC vs NYK - Q2 07:20.00")</f>
        <v>LAC vs NYK - Q2 07:20.00</v>
      </c>
      <c r="M863">
        <v>22.88</v>
      </c>
      <c r="N863">
        <v>91.2</v>
      </c>
      <c r="O863">
        <v>95.37</v>
      </c>
      <c r="P863">
        <v>227</v>
      </c>
      <c r="Q863">
        <v>30</v>
      </c>
      <c r="R863">
        <v>91</v>
      </c>
      <c r="S863">
        <v>95</v>
      </c>
      <c r="T863" t="s">
        <v>58</v>
      </c>
    </row>
    <row r="864" spans="1:20" x14ac:dyDescent="0.25">
      <c r="A864">
        <v>21900239</v>
      </c>
      <c r="B864" t="s">
        <v>10</v>
      </c>
      <c r="C864" t="s">
        <v>61</v>
      </c>
      <c r="D864">
        <v>16</v>
      </c>
      <c r="E864">
        <v>14</v>
      </c>
      <c r="F864">
        <v>2</v>
      </c>
      <c r="G864">
        <v>1</v>
      </c>
      <c r="H864" s="1">
        <v>5.1273148148148146E-3</v>
      </c>
      <c r="I864">
        <v>2019</v>
      </c>
      <c r="J864" t="s">
        <v>59</v>
      </c>
      <c r="K864" s="2" t="str">
        <f>HYPERLINK("https://www.nba.com/stats/events?CFID=&amp;CFPARAMS=&amp;GameEventID=51&amp;GameID=0021900239&amp;Season=2019-20&amp;flag=1&amp;title=P.%20George%2024'%203PT%20%20(3%20PTS)%20(K.%20Leonard%203%20AST)", "P. George 24' 3PT  (3 PTS) (K. Leonard 3 AST)")</f>
        <v>P. George 24' 3PT  (3 PTS) (K. Leonard 3 AST)</v>
      </c>
      <c r="L864" s="2" t="str">
        <f>HYPERLINK("https://www.nba.com/game/...-vs-...-0021900239/play-by-play?watchFullGame=true", "LAC vs NOP - Q1 07:23.00")</f>
        <v>LAC vs NOP - Q1 07:23.00</v>
      </c>
      <c r="M864">
        <v>23.65</v>
      </c>
      <c r="N864">
        <v>91.11</v>
      </c>
      <c r="O864">
        <v>96.74</v>
      </c>
      <c r="P864">
        <v>234</v>
      </c>
      <c r="Q864">
        <v>31</v>
      </c>
      <c r="R864">
        <v>91</v>
      </c>
      <c r="S864">
        <v>96</v>
      </c>
      <c r="T864" t="s">
        <v>58</v>
      </c>
    </row>
    <row r="865" spans="1:20" x14ac:dyDescent="0.25">
      <c r="A865">
        <v>21900499</v>
      </c>
      <c r="B865" t="s">
        <v>4</v>
      </c>
      <c r="C865" t="s">
        <v>69</v>
      </c>
      <c r="D865">
        <v>26</v>
      </c>
      <c r="E865">
        <v>20</v>
      </c>
      <c r="F865">
        <v>6</v>
      </c>
      <c r="G865">
        <v>1</v>
      </c>
      <c r="H865" s="1">
        <v>9.7222222222222219E-4</v>
      </c>
      <c r="I865">
        <v>2019</v>
      </c>
      <c r="J865" t="s">
        <v>59</v>
      </c>
      <c r="K865" s="2" t="str">
        <f>HYPERLINK("https://www.nba.com/stats/events?CFID=&amp;CFPARAMS=&amp;GameEventID=137&amp;GameID=0021900499&amp;Season=2019-20&amp;flag=1&amp;title=R.%20McGruder%20layup%20(4%20PTS)%20(K.%20Leonard%203%20AST)", "R. McGruder layup (4 PTS) (K. Leonard 3 AST)")</f>
        <v>R. McGruder layup (4 PTS) (K. Leonard 3 AST)</v>
      </c>
      <c r="L865" s="2" t="str">
        <f>HYPERLINK("https://www.nba.com/game/...-vs-...-0021900499/play-by-play?watchFullGame=true", "LAC vs SAC - Q1 01:24.00")</f>
        <v>LAC vs SAC - Q1 01:24.00</v>
      </c>
      <c r="M865">
        <v>4.82</v>
      </c>
      <c r="N865">
        <v>91.02</v>
      </c>
      <c r="O865">
        <v>43.94</v>
      </c>
      <c r="P865">
        <v>-30</v>
      </c>
      <c r="Q865">
        <v>32</v>
      </c>
      <c r="R865">
        <v>91</v>
      </c>
      <c r="S865">
        <v>43</v>
      </c>
      <c r="T865" t="s">
        <v>58</v>
      </c>
    </row>
    <row r="866" spans="1:20" x14ac:dyDescent="0.25">
      <c r="A866">
        <v>21900576</v>
      </c>
      <c r="B866" t="s">
        <v>10</v>
      </c>
      <c r="C866" t="s">
        <v>61</v>
      </c>
      <c r="D866">
        <v>35</v>
      </c>
      <c r="E866">
        <v>37</v>
      </c>
      <c r="F866">
        <v>2</v>
      </c>
      <c r="G866">
        <v>2</v>
      </c>
      <c r="H866" s="1">
        <v>3.5879629629629629E-3</v>
      </c>
      <c r="I866">
        <v>2019</v>
      </c>
      <c r="J866" t="s">
        <v>59</v>
      </c>
      <c r="K866" s="2" t="str">
        <f>HYPERLINK("https://www.nba.com/stats/events?CFID=&amp;CFPARAMS=&amp;GameEventID=255&amp;GameID=0021900576&amp;Season=2019-20&amp;flag=1&amp;title=M.%20Harkless%2024'%203PT%20%20(5%20PTS)%20(K.%20Leonard%203%20AST)", "M. Harkless 24' 3PT  (5 PTS) (K. Leonard 3 AST)")</f>
        <v>M. Harkless 24' 3PT  (5 PTS) (K. Leonard 3 AST)</v>
      </c>
      <c r="L866" s="2" t="str">
        <f>HYPERLINK("https://www.nba.com/game/...-vs-...-0021900576/play-by-play?watchFullGame=true", "LAC vs GSW - Q2 05:10.00")</f>
        <v>LAC vs GSW - Q2 05:10.00</v>
      </c>
      <c r="M866">
        <v>23.53</v>
      </c>
      <c r="N866">
        <v>91.11</v>
      </c>
      <c r="O866">
        <v>96.5</v>
      </c>
      <c r="P866">
        <v>232</v>
      </c>
      <c r="Q866">
        <v>31</v>
      </c>
      <c r="R866">
        <v>91</v>
      </c>
      <c r="S866">
        <v>96</v>
      </c>
      <c r="T866" t="s">
        <v>58</v>
      </c>
    </row>
    <row r="867" spans="1:20" x14ac:dyDescent="0.25">
      <c r="A867">
        <v>22000289</v>
      </c>
      <c r="B867" t="s">
        <v>4</v>
      </c>
      <c r="C867" t="s">
        <v>64</v>
      </c>
      <c r="D867">
        <v>12</v>
      </c>
      <c r="E867">
        <v>3</v>
      </c>
      <c r="F867">
        <v>9</v>
      </c>
      <c r="G867">
        <v>1</v>
      </c>
      <c r="H867" s="1">
        <v>5.8101851851851856E-3</v>
      </c>
      <c r="I867">
        <v>2020</v>
      </c>
      <c r="J867" t="s">
        <v>59</v>
      </c>
      <c r="K867" s="2" t="str">
        <f>HYPERLINK("https://www.nba.com/stats/events?CFID=&amp;CFPARAMS=&amp;GameEventID=34&amp;GameID=0022000289&amp;Season=2020-21&amp;flag=1&amp;title=Ibaka%20driving%20Layup%20(2%20PTS)%20(K.%20Leonard%201%20AST)", "S. Ibaka driving Layup (2 PTS) (K. Leonard 1 AST)")</f>
        <v>S. Ibaka driving Layup (2 PTS) (K. Leonard 1 AST)</v>
      </c>
      <c r="L867" s="2" t="str">
        <f>HYPERLINK("https://www.nba.com/game/...-vs-...-0022000289/play-by-play?watchFullGame=true", "LAC vs ORL - Q1 08:22.00")</f>
        <v>LAC vs ORL - Q1 08:22.00</v>
      </c>
      <c r="M867">
        <v>3.22</v>
      </c>
      <c r="N867">
        <v>91.02</v>
      </c>
      <c r="O867">
        <v>50.8</v>
      </c>
      <c r="P867">
        <v>4</v>
      </c>
      <c r="Q867">
        <v>32</v>
      </c>
      <c r="R867">
        <v>91</v>
      </c>
      <c r="S867">
        <v>50</v>
      </c>
      <c r="T867" t="s">
        <v>58</v>
      </c>
    </row>
    <row r="868" spans="1:20" x14ac:dyDescent="0.25">
      <c r="A868">
        <v>22000105</v>
      </c>
      <c r="B868" t="s">
        <v>10</v>
      </c>
      <c r="C868" t="s">
        <v>9</v>
      </c>
      <c r="D868">
        <v>65</v>
      </c>
      <c r="E868">
        <v>71</v>
      </c>
      <c r="F868">
        <v>6</v>
      </c>
      <c r="G868">
        <v>3</v>
      </c>
      <c r="H868" s="1">
        <v>4.8263888888888887E-3</v>
      </c>
      <c r="I868">
        <v>2020</v>
      </c>
      <c r="J868" t="s">
        <v>59</v>
      </c>
      <c r="K868" s="2" t="str">
        <f>HYPERLINK("https://www.nba.com/stats/events?CFID=&amp;CFPARAMS=&amp;GameEventID=376&amp;GameID=0022000105&amp;Season=2020-21&amp;flag=1&amp;title=P.%20Beverley%203PT%20step%20back%20(12%20PTS)%20(K.%20Leonard%206%20AST)", "P. Beverley 3PT step back (12 PTS) (K. Leonard 6 AST)")</f>
        <v>P. Beverley 3PT step back (12 PTS) (K. Leonard 6 AST)</v>
      </c>
      <c r="L868" s="2" t="str">
        <f>HYPERLINK("https://www.nba.com/game/...-vs-...-0022000105/play-by-play?watchFullGame=true", "LAC vs SAS - Q3 06:57.00")</f>
        <v>LAC vs SAS - Q3 06:57.00</v>
      </c>
      <c r="M868">
        <v>23.59</v>
      </c>
      <c r="N868">
        <v>91.54</v>
      </c>
      <c r="O868">
        <v>96.88</v>
      </c>
      <c r="P868">
        <v>234</v>
      </c>
      <c r="Q868">
        <v>27</v>
      </c>
      <c r="R868">
        <v>91</v>
      </c>
      <c r="S868">
        <v>96</v>
      </c>
      <c r="T868" t="s">
        <v>58</v>
      </c>
    </row>
    <row r="869" spans="1:20" x14ac:dyDescent="0.25">
      <c r="A869">
        <v>22000775</v>
      </c>
      <c r="B869" t="s">
        <v>10</v>
      </c>
      <c r="C869" t="s">
        <v>9</v>
      </c>
      <c r="D869">
        <v>53</v>
      </c>
      <c r="E869">
        <v>33</v>
      </c>
      <c r="F869">
        <v>20</v>
      </c>
      <c r="G869">
        <v>2</v>
      </c>
      <c r="H869" s="1">
        <v>7.2337962962962963E-3</v>
      </c>
      <c r="I869">
        <v>2020</v>
      </c>
      <c r="J869" t="s">
        <v>59</v>
      </c>
      <c r="K869" s="2" t="str">
        <f>HYPERLINK("https://www.nba.com/stats/events?CFID=&amp;CFPARAMS=&amp;GameEventID=189&amp;GameID=0022000775&amp;Season=2020-21&amp;flag=1&amp;title=N.%20Batum%203PT%20%20(5%20PTS)%20(K.%20Leonard%205%20AST)", "N. Batum 3PT  (5 PTS) (K. Leonard 5 AST)")</f>
        <v>N. Batum 3PT  (5 PTS) (K. Leonard 5 AST)</v>
      </c>
      <c r="L869" s="2" t="str">
        <f>HYPERLINK("https://www.nba.com/game/...-vs-...-0022000775/play-by-play?watchFullGame=true", "LAC vs POR - Q2 10:25.00")</f>
        <v>LAC vs POR - Q2 10:25.00</v>
      </c>
      <c r="M869">
        <v>23.33</v>
      </c>
      <c r="N869">
        <v>91.15</v>
      </c>
      <c r="O869">
        <v>3.75</v>
      </c>
      <c r="P869">
        <v>-231</v>
      </c>
      <c r="Q869">
        <v>31</v>
      </c>
      <c r="R869">
        <v>91</v>
      </c>
      <c r="S869">
        <v>3</v>
      </c>
      <c r="T869" t="s">
        <v>58</v>
      </c>
    </row>
    <row r="870" spans="1:20" x14ac:dyDescent="0.25">
      <c r="A870">
        <v>22300731</v>
      </c>
      <c r="B870" t="s">
        <v>4</v>
      </c>
      <c r="C870" t="s">
        <v>64</v>
      </c>
      <c r="D870">
        <v>86</v>
      </c>
      <c r="E870">
        <v>95</v>
      </c>
      <c r="F870">
        <v>9</v>
      </c>
      <c r="G870">
        <v>4</v>
      </c>
      <c r="H870" s="1">
        <v>5.5324074074074078E-3</v>
      </c>
      <c r="I870">
        <v>2023</v>
      </c>
      <c r="J870" t="s">
        <v>59</v>
      </c>
      <c r="K870" s="2" t="str">
        <f>HYPERLINK("https://www.nba.com/stats/events?CFID=&amp;CFPARAMS=&amp;GameEventID=530&amp;GameID=0022300731&amp;Season=2023-24&amp;flag=1&amp;title=N.%20Powell%20driving%20finger%20roll%20Layup%20(16%20PTS)%20(K.%20Leonard%203%20AST)", "N. Powell driving finger roll Layup (16 PTS) (K. Leonard 3 AST)")</f>
        <v>N. Powell driving finger roll Layup (16 PTS) (K. Leonard 3 AST)</v>
      </c>
      <c r="L870" s="2" t="str">
        <f>HYPERLINK("https://www.nba.com/game/...-vs-...-0022300731/play-by-play?watchFullGame=true", "LAC vs NOP - Q4 07:58.00")</f>
        <v>LAC vs NOP - Q4 07:58.00</v>
      </c>
      <c r="M870">
        <v>2.74</v>
      </c>
      <c r="N870">
        <v>91.51</v>
      </c>
      <c r="O870">
        <v>49.51</v>
      </c>
      <c r="P870">
        <v>-2</v>
      </c>
      <c r="Q870">
        <v>27</v>
      </c>
      <c r="R870">
        <v>91</v>
      </c>
      <c r="S870">
        <v>49</v>
      </c>
      <c r="T870" t="s">
        <v>58</v>
      </c>
    </row>
    <row r="871" spans="1:20" x14ac:dyDescent="0.25">
      <c r="A871">
        <v>22201129</v>
      </c>
      <c r="B871" t="s">
        <v>4</v>
      </c>
      <c r="C871" t="s">
        <v>65</v>
      </c>
      <c r="D871">
        <v>66</v>
      </c>
      <c r="E871">
        <v>60</v>
      </c>
      <c r="F871">
        <v>6</v>
      </c>
      <c r="G871">
        <v>3</v>
      </c>
      <c r="H871" s="1">
        <v>6.851851851851852E-3</v>
      </c>
      <c r="I871">
        <v>2022</v>
      </c>
      <c r="J871" t="s">
        <v>59</v>
      </c>
      <c r="K871" s="2" t="str">
        <f>HYPERLINK("https://www.nba.com/stats/events?CFID=&amp;CFPARAMS=&amp;GameEventID=322&amp;GameID=0022201129&amp;Season=2022-23&amp;flag=1&amp;title=I.%20Zubac%20cutting%20DUNK%20(6%20PTS)%20(K.%20Leonard%204%20AST)", "I. Zubac cutting DUNK (6 PTS) (K. Leonard 4 AST)")</f>
        <v>I. Zubac cutting DUNK (6 PTS) (K. Leonard 4 AST)</v>
      </c>
      <c r="L871" s="2" t="str">
        <f>HYPERLINK("https://www.nba.com/game/...-vs-...-0022201129/play-by-play?watchFullGame=true", "LAC vs CHI - Q3 09:52.00")</f>
        <v>LAC vs CHI - Q3 09:52.00</v>
      </c>
      <c r="M871">
        <v>3.19</v>
      </c>
      <c r="N871">
        <v>91.64</v>
      </c>
      <c r="O871">
        <v>53.68</v>
      </c>
      <c r="P871">
        <v>18</v>
      </c>
      <c r="Q871">
        <v>26</v>
      </c>
      <c r="R871">
        <v>91</v>
      </c>
      <c r="S871">
        <v>53</v>
      </c>
      <c r="T871" t="s">
        <v>58</v>
      </c>
    </row>
    <row r="872" spans="1:20" x14ac:dyDescent="0.25">
      <c r="A872">
        <v>22001034</v>
      </c>
      <c r="B872" t="s">
        <v>4</v>
      </c>
      <c r="C872" t="s">
        <v>65</v>
      </c>
      <c r="D872">
        <v>66</v>
      </c>
      <c r="E872">
        <v>54</v>
      </c>
      <c r="F872">
        <v>12</v>
      </c>
      <c r="G872">
        <v>3</v>
      </c>
      <c r="H872" s="1">
        <v>6.2037037037037035E-3</v>
      </c>
      <c r="I872">
        <v>2020</v>
      </c>
      <c r="J872" t="s">
        <v>59</v>
      </c>
      <c r="K872" s="2" t="str">
        <f>HYPERLINK("https://www.nba.com/stats/events?CFID=&amp;CFPARAMS=&amp;GameEventID=360&amp;GameID=0022001034&amp;Season=2020-21&amp;flag=1&amp;title=I.%20Zubac%20cutting%20DUNK%20(10%20PTS)%20(K.%20Leonard%203%20AST)", "I. Zubac cutting DUNK (10 PTS) (K. Leonard 3 AST)")</f>
        <v>I. Zubac cutting DUNK (10 PTS) (K. Leonard 3 AST)</v>
      </c>
      <c r="L872" s="2" t="str">
        <f>HYPERLINK("https://www.nba.com/game/...-vs-...-0022001034/play-by-play?watchFullGame=true", "LAC vs TOR - Q3 08:56.00")</f>
        <v>LAC vs TOR - Q3 08:56.00</v>
      </c>
      <c r="M872">
        <v>3.18</v>
      </c>
      <c r="N872">
        <v>91.41</v>
      </c>
      <c r="O872">
        <v>47.13</v>
      </c>
      <c r="P872">
        <v>-14</v>
      </c>
      <c r="Q872">
        <v>28</v>
      </c>
      <c r="R872">
        <v>91</v>
      </c>
      <c r="S872">
        <v>47</v>
      </c>
      <c r="T872" t="s">
        <v>58</v>
      </c>
    </row>
    <row r="873" spans="1:20" x14ac:dyDescent="0.25">
      <c r="A873">
        <v>22000520</v>
      </c>
      <c r="B873" t="s">
        <v>10</v>
      </c>
      <c r="C873" t="s">
        <v>9</v>
      </c>
      <c r="D873">
        <v>44</v>
      </c>
      <c r="E873">
        <v>49</v>
      </c>
      <c r="F873">
        <v>5</v>
      </c>
      <c r="G873">
        <v>2</v>
      </c>
      <c r="H873" s="1">
        <v>1.4004629629629629E-3</v>
      </c>
      <c r="I873">
        <v>2020</v>
      </c>
      <c r="J873" t="s">
        <v>59</v>
      </c>
      <c r="K873" s="2" t="str">
        <f>HYPERLINK("https://www.nba.com/stats/events?CFID=&amp;CFPARAMS=&amp;GameEventID=275&amp;GameID=0022000520&amp;Season=2020-21&amp;flag=1&amp;title=N.%20Batum%203PT%20%20(3%20PTS)%20(K.%20Leonard%201%20AST)", "N. Batum 3PT  (3 PTS) (K. Leonard 1 AST)")</f>
        <v>N. Batum 3PT  (3 PTS) (K. Leonard 1 AST)</v>
      </c>
      <c r="L873" s="2" t="str">
        <f>HYPERLINK("https://www.nba.com/game/...-vs-...-0022000520/play-by-play?watchFullGame=true", "LAC vs MIL - Q2 02:01.00")</f>
        <v>LAC vs MIL - Q2 02:01.00</v>
      </c>
      <c r="M873">
        <v>23.08</v>
      </c>
      <c r="N873">
        <v>91.8</v>
      </c>
      <c r="O873">
        <v>95.9</v>
      </c>
      <c r="P873">
        <v>230</v>
      </c>
      <c r="Q873">
        <v>25</v>
      </c>
      <c r="R873">
        <v>91</v>
      </c>
      <c r="S873">
        <v>95</v>
      </c>
      <c r="T873" t="s">
        <v>58</v>
      </c>
    </row>
    <row r="874" spans="1:20" x14ac:dyDescent="0.25">
      <c r="A874">
        <v>22400733</v>
      </c>
      <c r="B874" t="s">
        <v>10</v>
      </c>
      <c r="C874" t="s">
        <v>9</v>
      </c>
      <c r="D874">
        <v>11</v>
      </c>
      <c r="E874">
        <v>2</v>
      </c>
      <c r="F874">
        <v>9</v>
      </c>
      <c r="G874">
        <v>1</v>
      </c>
      <c r="H874" s="1">
        <v>6.5740740740740742E-3</v>
      </c>
      <c r="I874">
        <v>2024</v>
      </c>
      <c r="J874" t="s">
        <v>59</v>
      </c>
      <c r="K874" s="2" t="str">
        <f>HYPERLINK("https://www.nba.com/stats/events?CFID=&amp;CFPARAMS=&amp;GameEventID=25&amp;GameID=0022400733&amp;Season=2024-25&amp;flag=1&amp;title=D.%20Jones%20Jr.%203PT%20%20(3%20PTS)%20(K.%20Leonard%203%20AST)", "D. Jones Jr. 3PT  (3 PTS) (K. Leonard 3 AST)")</f>
        <v>D. Jones Jr. 3PT  (3 PTS) (K. Leonard 3 AST)</v>
      </c>
      <c r="L874" s="2" t="str">
        <f>HYPERLINK("https://www.nba.com/game/...-vs-...-0022400733/play-by-play?watchFullGame=true", "LAC vs IND - Q1 09:28.00")</f>
        <v>LAC vs IND - Q1 09:28.00</v>
      </c>
      <c r="M874">
        <v>23.12</v>
      </c>
      <c r="N874">
        <v>91.15</v>
      </c>
      <c r="O874">
        <v>95.83</v>
      </c>
      <c r="P874">
        <v>229</v>
      </c>
      <c r="Q874">
        <v>31</v>
      </c>
      <c r="R874">
        <v>91</v>
      </c>
      <c r="S874">
        <v>95</v>
      </c>
      <c r="T874" t="s">
        <v>58</v>
      </c>
    </row>
    <row r="875" spans="1:20" x14ac:dyDescent="0.25">
      <c r="A875">
        <v>22201196</v>
      </c>
      <c r="B875" t="s">
        <v>4</v>
      </c>
      <c r="C875" t="s">
        <v>70</v>
      </c>
      <c r="D875">
        <v>60</v>
      </c>
      <c r="E875">
        <v>46</v>
      </c>
      <c r="F875">
        <v>14</v>
      </c>
      <c r="G875">
        <v>2</v>
      </c>
      <c r="H875" s="1">
        <v>3.5416666666666665E-3</v>
      </c>
      <c r="I875">
        <v>2022</v>
      </c>
      <c r="J875" t="s">
        <v>59</v>
      </c>
      <c r="K875" s="2" t="str">
        <f>HYPERLINK("https://www.nba.com/stats/events?CFID=&amp;CFPARAMS=&amp;GameEventID=236&amp;GameID=0022201196&amp;Season=2022-23&amp;flag=1&amp;title=I.%20Zubac%20turnaround%20Hook%20(8%20PTS)%20(K.%20Leonard%202%20AST)", "I. Zubac turnaround Hook (8 PTS) (K. Leonard 2 AST)")</f>
        <v>I. Zubac turnaround Hook (8 PTS) (K. Leonard 2 AST)</v>
      </c>
      <c r="L875" s="2" t="str">
        <f>HYPERLINK("https://www.nba.com/game/...-vs-...-0022201196/play-by-play?watchFullGame=true", "LAC vs LAL - Q2 05:06.00")</f>
        <v>LAC vs LAL - Q2 05:06.00</v>
      </c>
      <c r="M875">
        <v>3.07</v>
      </c>
      <c r="N875">
        <v>91.25</v>
      </c>
      <c r="O875">
        <v>51.47</v>
      </c>
      <c r="P875">
        <v>7</v>
      </c>
      <c r="Q875">
        <v>30</v>
      </c>
      <c r="R875">
        <v>91</v>
      </c>
      <c r="S875">
        <v>51</v>
      </c>
      <c r="T875" t="s">
        <v>58</v>
      </c>
    </row>
    <row r="876" spans="1:20" x14ac:dyDescent="0.25">
      <c r="A876">
        <v>21900523</v>
      </c>
      <c r="B876" t="s">
        <v>4</v>
      </c>
      <c r="C876" t="s">
        <v>69</v>
      </c>
      <c r="D876">
        <v>80</v>
      </c>
      <c r="E876">
        <v>93</v>
      </c>
      <c r="F876">
        <v>13</v>
      </c>
      <c r="G876">
        <v>3</v>
      </c>
      <c r="H876" s="1">
        <v>1.3773148148148147E-3</v>
      </c>
      <c r="I876">
        <v>2019</v>
      </c>
      <c r="J876" t="s">
        <v>59</v>
      </c>
      <c r="K876" s="2" t="str">
        <f>HYPERLINK("https://www.nba.com/stats/events?CFID=&amp;CFPARAMS=&amp;GameEventID=512&amp;GameID=0021900523&amp;Season=2019-20&amp;flag=1&amp;title=M.%20Harrell%20layup%20(19%20PTS)%20(K.%20Leonard%203%20AST)", "M. Harrell layup (19 PTS) (K. Leonard 3 AST)")</f>
        <v>M. Harrell layup (19 PTS) (K. Leonard 3 AST)</v>
      </c>
      <c r="L876" s="2" t="str">
        <f>HYPERLINK("https://www.nba.com/game/...-vs-...-0021900523/play-by-play?watchFullGame=true", "LAC vs MEM - Q3 01:59.00")</f>
        <v>LAC vs MEM - Q3 01:59.00</v>
      </c>
      <c r="M876">
        <v>2.95</v>
      </c>
      <c r="N876">
        <v>91.9</v>
      </c>
      <c r="O876">
        <v>50.91</v>
      </c>
      <c r="P876">
        <v>5</v>
      </c>
      <c r="Q876">
        <v>24</v>
      </c>
      <c r="R876">
        <v>91</v>
      </c>
      <c r="S876">
        <v>50</v>
      </c>
      <c r="T876" t="s">
        <v>58</v>
      </c>
    </row>
    <row r="877" spans="1:20" x14ac:dyDescent="0.25">
      <c r="A877">
        <v>22000002</v>
      </c>
      <c r="B877" t="s">
        <v>4</v>
      </c>
      <c r="C877" t="s">
        <v>65</v>
      </c>
      <c r="D877">
        <v>101</v>
      </c>
      <c r="E877">
        <v>92</v>
      </c>
      <c r="F877">
        <v>9</v>
      </c>
      <c r="G877">
        <v>4</v>
      </c>
      <c r="H877" s="1">
        <v>5.4166666666666669E-3</v>
      </c>
      <c r="I877">
        <v>2020</v>
      </c>
      <c r="J877" t="s">
        <v>59</v>
      </c>
      <c r="K877" s="2" t="str">
        <f>HYPERLINK("https://www.nba.com/stats/events?CFID=&amp;CFPARAMS=&amp;GameEventID=610&amp;GameID=0022000002&amp;Season=2020-21&amp;flag=1&amp;title=I.%20Zubac%20cutting%20DUNK%20(11%20PTS)%20(K.%20Leonard%203%20AST)", "I. Zubac cutting DUNK (11 PTS) (K. Leonard 3 AST)")</f>
        <v>I. Zubac cutting DUNK (11 PTS) (K. Leonard 3 AST)</v>
      </c>
      <c r="L877" s="2" t="str">
        <f>HYPERLINK("https://www.nba.com/game/...-vs-...-0022000002/play-by-play?watchFullGame=true", "LAC vs LAL - Q4 07:48.00")</f>
        <v>LAC vs LAL - Q4 07:48.00</v>
      </c>
      <c r="M877">
        <v>3.08</v>
      </c>
      <c r="N877">
        <v>91.67</v>
      </c>
      <c r="O877">
        <v>46.64</v>
      </c>
      <c r="P877">
        <v>-17</v>
      </c>
      <c r="Q877">
        <v>26</v>
      </c>
      <c r="R877">
        <v>91</v>
      </c>
      <c r="S877">
        <v>46</v>
      </c>
      <c r="T877" t="s">
        <v>58</v>
      </c>
    </row>
    <row r="878" spans="1:20" x14ac:dyDescent="0.25">
      <c r="A878">
        <v>22000387</v>
      </c>
      <c r="B878" t="s">
        <v>4</v>
      </c>
      <c r="C878" t="s">
        <v>64</v>
      </c>
      <c r="D878">
        <v>43</v>
      </c>
      <c r="E878">
        <v>48</v>
      </c>
      <c r="F878">
        <v>5</v>
      </c>
      <c r="G878">
        <v>2</v>
      </c>
      <c r="H878" s="1">
        <v>2.4305555555555556E-3</v>
      </c>
      <c r="I878">
        <v>2020</v>
      </c>
      <c r="J878" t="s">
        <v>59</v>
      </c>
      <c r="K878" s="2" t="str">
        <f>HYPERLINK("https://www.nba.com/stats/events?CFID=&amp;CFPARAMS=&amp;GameEventID=280&amp;GameID=0022000387&amp;Season=2020-21&amp;flag=1&amp;title=P.%20Beverley%20running%20Layup%20(2%20PTS)%20(K.%20Leonard%202%20AST)", "P. Beverley running Layup (2 PTS) (K. Leonard 2 AST)")</f>
        <v>P. Beverley running Layup (2 PTS) (K. Leonard 2 AST)</v>
      </c>
      <c r="L878" s="2" t="str">
        <f>HYPERLINK("https://www.nba.com/game/...-vs-...-0022000387/play-by-play?watchFullGame=true", "LAC vs MIN - Q2 03:30.00")</f>
        <v>LAC vs MIN - Q2 03:30.00</v>
      </c>
      <c r="M878">
        <v>2.62</v>
      </c>
      <c r="N878">
        <v>91.67</v>
      </c>
      <c r="O878">
        <v>49.09</v>
      </c>
      <c r="P878">
        <v>-5</v>
      </c>
      <c r="Q878">
        <v>26</v>
      </c>
      <c r="R878">
        <v>91</v>
      </c>
      <c r="S878">
        <v>49</v>
      </c>
      <c r="T878" t="s">
        <v>58</v>
      </c>
    </row>
    <row r="879" spans="1:20" x14ac:dyDescent="0.25">
      <c r="A879">
        <v>22200735</v>
      </c>
      <c r="B879" t="s">
        <v>4</v>
      </c>
      <c r="C879" t="s">
        <v>9</v>
      </c>
      <c r="D879">
        <v>7</v>
      </c>
      <c r="E879">
        <v>3</v>
      </c>
      <c r="F879">
        <v>4</v>
      </c>
      <c r="G879">
        <v>1</v>
      </c>
      <c r="H879" s="1">
        <v>6.898148148148148E-3</v>
      </c>
      <c r="I879">
        <v>2022</v>
      </c>
      <c r="J879" t="s">
        <v>59</v>
      </c>
      <c r="K879" s="2" t="str">
        <f>HYPERLINK("https://www.nba.com/stats/events?CFID=&amp;CFPARAMS=&amp;GameEventID=24&amp;GameID=0022200735&amp;Season=2022-23&amp;flag=1&amp;title=T.%20Mann%20fadeaway%20Jump%20Shot%20(2%20PTS)%20(K.%20Leonard%202%20AST)", "T. Mann fadeaway Jump Shot (2 PTS) (K. Leonard 2 AST)")</f>
        <v>T. Mann fadeaway Jump Shot (2 PTS) (K. Leonard 2 AST)</v>
      </c>
      <c r="L879" s="2" t="str">
        <f>HYPERLINK("https://www.nba.com/game/...-vs-...-0022200735/play-by-play?watchFullGame=true", "LAC vs SAS - Q1 09:56.00")</f>
        <v>LAC vs SAS - Q1 09:56.00</v>
      </c>
      <c r="M879">
        <v>4.1100000000000003</v>
      </c>
      <c r="N879">
        <v>91.11</v>
      </c>
      <c r="O879">
        <v>44.61</v>
      </c>
      <c r="P879">
        <v>-27</v>
      </c>
      <c r="Q879">
        <v>31</v>
      </c>
      <c r="R879">
        <v>91</v>
      </c>
      <c r="S879">
        <v>44</v>
      </c>
      <c r="T879" t="s">
        <v>58</v>
      </c>
    </row>
    <row r="880" spans="1:20" x14ac:dyDescent="0.25">
      <c r="A880">
        <v>22200363</v>
      </c>
      <c r="B880" t="s">
        <v>10</v>
      </c>
      <c r="C880" t="s">
        <v>9</v>
      </c>
      <c r="D880">
        <v>59</v>
      </c>
      <c r="E880">
        <v>44</v>
      </c>
      <c r="F880">
        <v>15</v>
      </c>
      <c r="G880">
        <v>3</v>
      </c>
      <c r="H880" s="1">
        <v>6.9212962962962961E-3</v>
      </c>
      <c r="I880">
        <v>2022</v>
      </c>
      <c r="J880" t="s">
        <v>59</v>
      </c>
      <c r="K880" s="2" t="str">
        <f>HYPERLINK("https://www.nba.com/stats/events?CFID=&amp;CFPARAMS=&amp;GameEventID=359&amp;GameID=0022200363&amp;Season=2022-23&amp;flag=1&amp;title=N.%20Batum%203PT%20%20(6%20PTS)%20(K.%20Leonard%202%20AST)", "N. Batum 3PT  (6 PTS) (K. Leonard 2 AST)")</f>
        <v>N. Batum 3PT  (6 PTS) (K. Leonard 2 AST)</v>
      </c>
      <c r="L880" s="2" t="str">
        <f>HYPERLINK("https://www.nba.com/game/...-vs-...-0022200363/play-by-play?watchFullGame=true", "LAC vs ORL - Q3 09:58.00")</f>
        <v>LAC vs ORL - Q3 09:58.00</v>
      </c>
      <c r="M880">
        <v>23.87</v>
      </c>
      <c r="N880">
        <v>91.02</v>
      </c>
      <c r="O880">
        <v>2.7</v>
      </c>
      <c r="P880">
        <v>-237</v>
      </c>
      <c r="Q880">
        <v>32</v>
      </c>
      <c r="R880">
        <v>91</v>
      </c>
      <c r="S880">
        <v>2</v>
      </c>
      <c r="T880" t="s">
        <v>58</v>
      </c>
    </row>
    <row r="881" spans="1:20" x14ac:dyDescent="0.25">
      <c r="A881">
        <v>22300848</v>
      </c>
      <c r="B881" t="s">
        <v>4</v>
      </c>
      <c r="C881" t="s">
        <v>64</v>
      </c>
      <c r="D881">
        <v>58</v>
      </c>
      <c r="E881">
        <v>44</v>
      </c>
      <c r="F881">
        <v>14</v>
      </c>
      <c r="G881">
        <v>2</v>
      </c>
      <c r="H881" s="1">
        <v>2.5347222222222221E-3</v>
      </c>
      <c r="I881">
        <v>2023</v>
      </c>
      <c r="J881" t="s">
        <v>59</v>
      </c>
      <c r="K881" s="2" t="str">
        <f>HYPERLINK("https://www.nba.com/stats/events?CFID=&amp;CFPARAMS=&amp;GameEventID=281&amp;GameID=0022300848&amp;Season=2023-24&amp;flag=1&amp;title=T.%20Mann%20cutting%20finger%20roll%20Layup%20(12%20PTS)%20(K.%20Leonard%203%20AST)", "T. Mann cutting finger roll Layup (12 PTS) (K. Leonard 3 AST)")</f>
        <v>T. Mann cutting finger roll Layup (12 PTS) (K. Leonard 3 AST)</v>
      </c>
      <c r="L881" s="2" t="str">
        <f>HYPERLINK("https://www.nba.com/game/...-vs-...-0022300848/play-by-play?watchFullGame=true", "LAC vs LAL - Q2 03:39.00")</f>
        <v>LAC vs LAL - Q2 03:39.00</v>
      </c>
      <c r="M881">
        <v>3.04</v>
      </c>
      <c r="N881">
        <v>91.25</v>
      </c>
      <c r="O881">
        <v>48.77</v>
      </c>
      <c r="P881">
        <v>-6</v>
      </c>
      <c r="Q881">
        <v>30</v>
      </c>
      <c r="R881">
        <v>91</v>
      </c>
      <c r="S881">
        <v>48</v>
      </c>
      <c r="T881" t="s">
        <v>58</v>
      </c>
    </row>
    <row r="882" spans="1:20" x14ac:dyDescent="0.25">
      <c r="A882">
        <v>22000116</v>
      </c>
      <c r="B882" t="s">
        <v>10</v>
      </c>
      <c r="C882" t="s">
        <v>9</v>
      </c>
      <c r="D882">
        <v>71</v>
      </c>
      <c r="E882">
        <v>64</v>
      </c>
      <c r="F882">
        <v>7</v>
      </c>
      <c r="G882">
        <v>3</v>
      </c>
      <c r="H882" s="1">
        <v>3.3564814814814816E-3</v>
      </c>
      <c r="I882">
        <v>2020</v>
      </c>
      <c r="J882" t="s">
        <v>59</v>
      </c>
      <c r="K882" s="2" t="str">
        <f>HYPERLINK("https://www.nba.com/stats/events?CFID=&amp;CFPARAMS=&amp;GameEventID=435&amp;GameID=0022000116&amp;Season=2020-21&amp;flag=1&amp;title=L.%20Williams%203PT%20%20(3%20PTS)%20(K.%20Leonard%202%20AST)", "L. Williams 3PT  (3 PTS) (K. Leonard 2 AST)")</f>
        <v>L. Williams 3PT  (3 PTS) (K. Leonard 2 AST)</v>
      </c>
      <c r="L882" s="2" t="str">
        <f>HYPERLINK("https://www.nba.com/game/...-vs-...-0022000116/play-by-play?watchFullGame=true", "LAC vs GSW - Q3 04:50.00")</f>
        <v>LAC vs GSW - Q3 04:50.00</v>
      </c>
      <c r="M882">
        <v>23.57</v>
      </c>
      <c r="N882">
        <v>91.15</v>
      </c>
      <c r="O882">
        <v>3.26</v>
      </c>
      <c r="P882">
        <v>-234</v>
      </c>
      <c r="Q882">
        <v>31</v>
      </c>
      <c r="R882">
        <v>91</v>
      </c>
      <c r="S882">
        <v>3</v>
      </c>
      <c r="T882" t="s">
        <v>58</v>
      </c>
    </row>
    <row r="883" spans="1:20" x14ac:dyDescent="0.25">
      <c r="A883">
        <v>42000175</v>
      </c>
      <c r="B883" t="s">
        <v>4</v>
      </c>
      <c r="C883" t="s">
        <v>64</v>
      </c>
      <c r="D883">
        <v>17</v>
      </c>
      <c r="E883">
        <v>16</v>
      </c>
      <c r="F883">
        <v>1</v>
      </c>
      <c r="G883">
        <v>1</v>
      </c>
      <c r="H883" s="1">
        <v>3.6342592592592594E-3</v>
      </c>
      <c r="I883" t="s">
        <v>66</v>
      </c>
      <c r="J883" t="s">
        <v>59</v>
      </c>
      <c r="K883" s="2" t="str">
        <f>HYPERLINK("https://www.nba.com/stats/events?CFID=&amp;CFPARAMS=&amp;GameEventID=72&amp;GameID=0042000175&amp;Season=2020-21&amp;flag=1&amp;title=R.%20Jackson%20running%20reverse%20Layup%20(5%20PTS)%20(K.%20Leonard%202%20AST)", "R. Jackson running reverse Layup (5 PTS) (K. Leonard 2 AST)")</f>
        <v>R. Jackson running reverse Layup (5 PTS) (K. Leonard 2 AST)</v>
      </c>
      <c r="L883" s="2" t="str">
        <f>HYPERLINK("https://www.nba.com/game/...-vs-...-0042000175/play-by-play?watchFullGame=true", "LAC vs DAL - Q1 05:14.00")</f>
        <v>LAC vs DAL - Q1 05:14.00</v>
      </c>
      <c r="M883">
        <v>2.34</v>
      </c>
      <c r="N883">
        <v>91.93</v>
      </c>
      <c r="O883">
        <v>49.58</v>
      </c>
      <c r="P883">
        <v>91</v>
      </c>
      <c r="Q883">
        <v>49</v>
      </c>
      <c r="R883">
        <v>91</v>
      </c>
      <c r="S883">
        <v>49</v>
      </c>
      <c r="T883" t="s">
        <v>58</v>
      </c>
    </row>
    <row r="884" spans="1:20" x14ac:dyDescent="0.25">
      <c r="A884">
        <v>21900051</v>
      </c>
      <c r="B884" t="s">
        <v>4</v>
      </c>
      <c r="C884" t="s">
        <v>61</v>
      </c>
      <c r="D884">
        <v>31</v>
      </c>
      <c r="E884">
        <v>30</v>
      </c>
      <c r="F884">
        <v>1</v>
      </c>
      <c r="G884">
        <v>2</v>
      </c>
      <c r="H884" s="1">
        <v>7.8819444444444449E-3</v>
      </c>
      <c r="I884">
        <v>2019</v>
      </c>
      <c r="J884" t="s">
        <v>59</v>
      </c>
      <c r="K884" s="2" t="str">
        <f>HYPERLINK("https://www.nba.com/stats/events?CFID=&amp;CFPARAMS=&amp;GameEventID=153&amp;GameID=0021900051&amp;Season=2019-20&amp;flag=1&amp;title=[LAC]%20Williams%20jumpshot:%20Made%20(2%20PTS)%20assist:%20Leonard%20(2%20AST)", "[LAC] Williams jumpshot: Made (2 PTS) assist: Leonard (2 AST)")</f>
        <v>[LAC] Williams jumpshot: Made (2 PTS) assist: Leonard (2 AST)</v>
      </c>
      <c r="L884" s="2" t="str">
        <f>HYPERLINK("https://www.nba.com/game/...-vs-...-0021900051/play-by-play?watchFullGame=true", "LAC vs CHA - Q2 11:21.00")</f>
        <v>LAC vs CHA - Q2 11:21.00</v>
      </c>
      <c r="M884">
        <v>3.3</v>
      </c>
      <c r="N884">
        <v>91.9</v>
      </c>
      <c r="O884">
        <v>53.12</v>
      </c>
      <c r="P884">
        <v>16</v>
      </c>
      <c r="Q884">
        <v>24</v>
      </c>
      <c r="R884">
        <v>91</v>
      </c>
      <c r="S884">
        <v>53</v>
      </c>
      <c r="T884" t="s">
        <v>58</v>
      </c>
    </row>
    <row r="885" spans="1:20" x14ac:dyDescent="0.25">
      <c r="A885">
        <v>21900305</v>
      </c>
      <c r="B885" t="s">
        <v>4</v>
      </c>
      <c r="C885" t="s">
        <v>69</v>
      </c>
      <c r="D885">
        <v>2</v>
      </c>
      <c r="E885">
        <v>0</v>
      </c>
      <c r="F885">
        <v>2</v>
      </c>
      <c r="G885">
        <v>1</v>
      </c>
      <c r="H885" s="1">
        <v>8.1250000000000003E-3</v>
      </c>
      <c r="I885">
        <v>2019</v>
      </c>
      <c r="J885" t="s">
        <v>59</v>
      </c>
      <c r="K885" s="2" t="str">
        <f>HYPERLINK("https://www.nba.com/stats/events?CFID=&amp;CFPARAMS=&amp;GameEventID=7&amp;GameID=0021900305&amp;Season=2019-20&amp;flag=1&amp;title=P.%20George%20layup%20(2%20PTS)%20(K.%20Leonard%201%20AST)", "P. George layup (2 PTS) (K. Leonard 1 AST)")</f>
        <v>P. George layup (2 PTS) (K. Leonard 1 AST)</v>
      </c>
      <c r="L885" s="2" t="str">
        <f>HYPERLINK("https://www.nba.com/game/...-vs-...-0021900305/play-by-play?watchFullGame=true", "LAC vs POR - Q1 11:42.00")</f>
        <v>LAC vs POR - Q1 11:42.00</v>
      </c>
      <c r="M885">
        <v>3.19</v>
      </c>
      <c r="N885">
        <v>91.64</v>
      </c>
      <c r="O885">
        <v>50.91</v>
      </c>
      <c r="P885">
        <v>5</v>
      </c>
      <c r="Q885">
        <v>26</v>
      </c>
      <c r="R885">
        <v>91</v>
      </c>
      <c r="S885">
        <v>50</v>
      </c>
      <c r="T885" t="s">
        <v>58</v>
      </c>
    </row>
    <row r="886" spans="1:20" x14ac:dyDescent="0.25">
      <c r="A886">
        <v>22400486</v>
      </c>
      <c r="B886" t="s">
        <v>4</v>
      </c>
      <c r="C886" t="s">
        <v>64</v>
      </c>
      <c r="D886">
        <v>9</v>
      </c>
      <c r="E886">
        <v>8</v>
      </c>
      <c r="F886">
        <v>1</v>
      </c>
      <c r="G886">
        <v>1</v>
      </c>
      <c r="H886" s="1">
        <v>5.8217592592592592E-3</v>
      </c>
      <c r="I886">
        <v>2024</v>
      </c>
      <c r="J886" t="s">
        <v>59</v>
      </c>
      <c r="K886" s="2" t="str">
        <f>HYPERLINK("https://www.nba.com/stats/events?CFID=&amp;CFPARAMS=&amp;GameEventID=41&amp;GameID=0022400486&amp;Season=2024-25&amp;flag=1&amp;title=N.%20Powell%20driving%20Layup%20(4%20PTS)%20(K.%20Leonard%201%20AST)", "N. Powell driving Layup (4 PTS) (K. Leonard 1 AST)")</f>
        <v>N. Powell driving Layup (4 PTS) (K. Leonard 1 AST)</v>
      </c>
      <c r="L886" s="2" t="str">
        <f>HYPERLINK("https://www.nba.com/game/...-vs-...-0022400486/play-by-play?watchFullGame=true", "LAC vs ATL - Q1 08:23.00")</f>
        <v>LAC vs ATL - Q1 08:23.00</v>
      </c>
      <c r="M886">
        <v>3.09</v>
      </c>
      <c r="N886">
        <v>91.15</v>
      </c>
      <c r="O886">
        <v>49.26</v>
      </c>
      <c r="P886">
        <v>-4</v>
      </c>
      <c r="Q886">
        <v>31</v>
      </c>
      <c r="R886">
        <v>91</v>
      </c>
      <c r="S886">
        <v>49</v>
      </c>
      <c r="T886" t="s">
        <v>58</v>
      </c>
    </row>
    <row r="887" spans="1:20" x14ac:dyDescent="0.25">
      <c r="A887">
        <v>22001034</v>
      </c>
      <c r="B887" t="s">
        <v>4</v>
      </c>
      <c r="C887" t="s">
        <v>70</v>
      </c>
      <c r="D887">
        <v>83</v>
      </c>
      <c r="E887">
        <v>67</v>
      </c>
      <c r="F887">
        <v>16</v>
      </c>
      <c r="G887">
        <v>3</v>
      </c>
      <c r="H887" s="1">
        <v>1.4004629629629629E-3</v>
      </c>
      <c r="I887">
        <v>2020</v>
      </c>
      <c r="J887" t="s">
        <v>59</v>
      </c>
      <c r="K887" s="2" t="str">
        <f>HYPERLINK("https://www.nba.com/stats/events?CFID=&amp;CFPARAMS=&amp;GameEventID=453&amp;GameID=0022001034&amp;Season=2020-21&amp;flag=1&amp;title=I.%20Zubac%20turnaround%20bank%20Hook%20(14%20PTS)%20(K.%20Leonard%205%20AST)", "I. Zubac turnaround bank Hook (14 PTS) (K. Leonard 5 AST)")</f>
        <v>I. Zubac turnaround bank Hook (14 PTS) (K. Leonard 5 AST)</v>
      </c>
      <c r="L887" s="2" t="str">
        <f>HYPERLINK("https://www.nba.com/game/...-vs-...-0022001034/play-by-play?watchFullGame=true", "LAC vs TOR - Q3 02:01.00")</f>
        <v>LAC vs TOR - Q3 02:01.00</v>
      </c>
      <c r="M887">
        <v>4.66</v>
      </c>
      <c r="N887">
        <v>91.8</v>
      </c>
      <c r="O887">
        <v>57.91</v>
      </c>
      <c r="P887">
        <v>40</v>
      </c>
      <c r="Q887">
        <v>25</v>
      </c>
      <c r="R887">
        <v>91</v>
      </c>
      <c r="S887">
        <v>57</v>
      </c>
      <c r="T887" t="s">
        <v>58</v>
      </c>
    </row>
    <row r="888" spans="1:20" x14ac:dyDescent="0.25">
      <c r="A888">
        <v>22301017</v>
      </c>
      <c r="B888" t="s">
        <v>4</v>
      </c>
      <c r="C888" t="s">
        <v>65</v>
      </c>
      <c r="D888">
        <v>4</v>
      </c>
      <c r="E888">
        <v>2</v>
      </c>
      <c r="F888">
        <v>2</v>
      </c>
      <c r="G888">
        <v>1</v>
      </c>
      <c r="H888" s="1">
        <v>6.8402777777777776E-3</v>
      </c>
      <c r="I888">
        <v>2023</v>
      </c>
      <c r="J888" t="s">
        <v>59</v>
      </c>
      <c r="K888" s="2" t="str">
        <f>HYPERLINK("https://www.nba.com/stats/events?CFID=&amp;CFPARAMS=&amp;GameEventID=30&amp;GameID=0022301017&amp;Season=2023-24&amp;flag=1&amp;title=I.%20Zubac%20cutting%20DUNK%20(2%20PTS)%20(K.%20Leonard%201%20AST)", "I. Zubac cutting DUNK (2 PTS) (K. Leonard 1 AST)")</f>
        <v>I. Zubac cutting DUNK (2 PTS) (K. Leonard 1 AST)</v>
      </c>
      <c r="L888" s="2" t="str">
        <f>HYPERLINK("https://www.nba.com/game/...-vs-...-0022301017/play-by-play?watchFullGame=true", "LAC vs POR - Q1 09:51.00")</f>
        <v>LAC vs POR - Q1 09:51.00</v>
      </c>
      <c r="M888">
        <v>2.52</v>
      </c>
      <c r="N888">
        <v>91.8</v>
      </c>
      <c r="O888">
        <v>48.77</v>
      </c>
      <c r="P888">
        <v>-6</v>
      </c>
      <c r="Q888">
        <v>25</v>
      </c>
      <c r="R888">
        <v>91</v>
      </c>
      <c r="S888">
        <v>48</v>
      </c>
      <c r="T888" t="s">
        <v>58</v>
      </c>
    </row>
    <row r="889" spans="1:20" x14ac:dyDescent="0.25">
      <c r="A889">
        <v>21900339</v>
      </c>
      <c r="B889" t="s">
        <v>4</v>
      </c>
      <c r="C889" t="s">
        <v>69</v>
      </c>
      <c r="D889">
        <v>5</v>
      </c>
      <c r="E889">
        <v>0</v>
      </c>
      <c r="F889">
        <v>5</v>
      </c>
      <c r="G889">
        <v>1</v>
      </c>
      <c r="H889" s="1">
        <v>7.4768518518518517E-3</v>
      </c>
      <c r="I889">
        <v>2019</v>
      </c>
      <c r="J889" t="s">
        <v>59</v>
      </c>
      <c r="K889" s="2" t="str">
        <f>HYPERLINK("https://www.nba.com/stats/events?CFID=&amp;CFPARAMS=&amp;GameEventID=17&amp;GameID=0021900339&amp;Season=2019-20&amp;flag=1&amp;title=P.%20George%20layup%20(2%20PTS)%20(K.%20Leonard%202%20AST)", "P. George layup (2 PTS) (K. Leonard 2 AST)")</f>
        <v>P. George layup (2 PTS) (K. Leonard 2 AST)</v>
      </c>
      <c r="L889" s="2" t="str">
        <f>HYPERLINK("https://www.nba.com/game/...-vs-...-0021900339/play-by-play?watchFullGame=true", "LAC vs WAS - Q1 10:46.00")</f>
        <v>LAC vs WAS - Q1 10:46.00</v>
      </c>
      <c r="M889">
        <v>3.31</v>
      </c>
      <c r="N889">
        <v>91.77</v>
      </c>
      <c r="O889">
        <v>52.63</v>
      </c>
      <c r="P889">
        <v>13</v>
      </c>
      <c r="Q889">
        <v>25</v>
      </c>
      <c r="R889">
        <v>91</v>
      </c>
      <c r="S889">
        <v>52</v>
      </c>
      <c r="T889" t="s">
        <v>58</v>
      </c>
    </row>
    <row r="890" spans="1:20" x14ac:dyDescent="0.25">
      <c r="A890">
        <v>22000224</v>
      </c>
      <c r="B890" t="s">
        <v>10</v>
      </c>
      <c r="C890" t="s">
        <v>9</v>
      </c>
      <c r="D890">
        <v>13</v>
      </c>
      <c r="E890">
        <v>16</v>
      </c>
      <c r="F890">
        <v>3</v>
      </c>
      <c r="G890">
        <v>1</v>
      </c>
      <c r="H890" s="1">
        <v>4.1203703703703706E-3</v>
      </c>
      <c r="I890">
        <v>2020</v>
      </c>
      <c r="J890" t="s">
        <v>59</v>
      </c>
      <c r="K890" s="2" t="str">
        <f>HYPERLINK("https://www.nba.com/stats/events?CFID=&amp;CFPARAMS=&amp;GameEventID=61&amp;GameID=0022000224&amp;Season=2020-21&amp;flag=1&amp;title=N.%20Batum%203PT%20running%20(3%20PTS)%20(K.%20Leonard%201%20AST)", "N. Batum 3PT running (3 PTS) (K. Leonard 1 AST)")</f>
        <v>N. Batum 3PT running (3 PTS) (K. Leonard 1 AST)</v>
      </c>
      <c r="L890" s="2" t="str">
        <f>HYPERLINK("https://www.nba.com/game/...-vs-...-0022000224/play-by-play?watchFullGame=true", "LAC vs SAC - Q1 05:56.00")</f>
        <v>LAC vs SAC - Q1 05:56.00</v>
      </c>
      <c r="M890">
        <v>23.39</v>
      </c>
      <c r="N890">
        <v>91.67</v>
      </c>
      <c r="O890">
        <v>3.5</v>
      </c>
      <c r="P890">
        <v>-232</v>
      </c>
      <c r="Q890">
        <v>26</v>
      </c>
      <c r="R890">
        <v>91</v>
      </c>
      <c r="S890">
        <v>3</v>
      </c>
      <c r="T890" t="s">
        <v>58</v>
      </c>
    </row>
    <row r="891" spans="1:20" x14ac:dyDescent="0.25">
      <c r="A891">
        <v>41900153</v>
      </c>
      <c r="B891" t="s">
        <v>10</v>
      </c>
      <c r="C891" t="s">
        <v>61</v>
      </c>
      <c r="D891">
        <v>84</v>
      </c>
      <c r="E891">
        <v>71</v>
      </c>
      <c r="F891">
        <v>13</v>
      </c>
      <c r="G891">
        <v>3</v>
      </c>
      <c r="H891" s="1">
        <v>3.0555555555555557E-3</v>
      </c>
      <c r="I891" t="s">
        <v>68</v>
      </c>
      <c r="J891" t="s">
        <v>59</v>
      </c>
      <c r="K891" s="2" t="str">
        <f>HYPERLINK("https://www.nba.com/stats/events?CFID=&amp;CFPARAMS=&amp;GameEventID=431&amp;GameID=0041900153&amp;Season=2019-20&amp;flag=1&amp;title=R.%20Jackson%2024'%203PT%20%20(3%20PTS)%20(K.%20Leonard%208%20AST)", "R. Jackson 24' 3PT  (3 PTS) (K. Leonard 8 AST)")</f>
        <v>R. Jackson 24' 3PT  (3 PTS) (K. Leonard 8 AST)</v>
      </c>
      <c r="L891" s="2" t="str">
        <f>HYPERLINK("https://www.nba.com/game/...-vs-...-0041900153/play-by-play?watchFullGame=true", "LAC vs DAL - Q3 04:24.00")</f>
        <v>LAC vs DAL - Q3 04:24.00</v>
      </c>
      <c r="M891">
        <v>23.63</v>
      </c>
      <c r="N891">
        <v>91.28</v>
      </c>
      <c r="O891">
        <v>3.26</v>
      </c>
      <c r="P891">
        <v>-234</v>
      </c>
      <c r="Q891">
        <v>29</v>
      </c>
      <c r="R891">
        <v>91</v>
      </c>
      <c r="S891">
        <v>3</v>
      </c>
      <c r="T891" t="s">
        <v>58</v>
      </c>
    </row>
    <row r="892" spans="1:20" x14ac:dyDescent="0.25">
      <c r="A892">
        <v>22300982</v>
      </c>
      <c r="B892" t="s">
        <v>10</v>
      </c>
      <c r="C892" t="s">
        <v>9</v>
      </c>
      <c r="D892">
        <v>25</v>
      </c>
      <c r="E892">
        <v>27</v>
      </c>
      <c r="F892">
        <v>2</v>
      </c>
      <c r="G892">
        <v>1</v>
      </c>
      <c r="H892" s="1">
        <v>1.0648148148148149E-3</v>
      </c>
      <c r="I892">
        <v>2023</v>
      </c>
      <c r="J892" t="s">
        <v>59</v>
      </c>
      <c r="K892" s="2" t="str">
        <f>HYPERLINK("https://www.nba.com/stats/events?CFID=&amp;CFPARAMS=&amp;GameEventID=136&amp;GameID=0022300982&amp;Season=2023-24&amp;flag=1&amp;title=P.%20Tucker%203PT%20%20(3%20PTS)%20(K.%20Leonard%201%20AST)", "P. Tucker 3PT  (3 PTS) (K. Leonard 1 AST)")</f>
        <v>P. Tucker 3PT  (3 PTS) (K. Leonard 1 AST)</v>
      </c>
      <c r="L892" s="2" t="str">
        <f>HYPERLINK("https://www.nba.com/game/...-vs-...-0022300982/play-by-play?watchFullGame=true", "LAC vs ATL - Q1 01:32.00")</f>
        <v>LAC vs ATL - Q1 01:32.00</v>
      </c>
      <c r="M892">
        <v>22.87</v>
      </c>
      <c r="N892">
        <v>91.25</v>
      </c>
      <c r="O892">
        <v>95.34</v>
      </c>
      <c r="P892">
        <v>227</v>
      </c>
      <c r="Q892">
        <v>30</v>
      </c>
      <c r="R892">
        <v>91</v>
      </c>
      <c r="S892">
        <v>95</v>
      </c>
      <c r="T892" t="s">
        <v>58</v>
      </c>
    </row>
    <row r="893" spans="1:20" x14ac:dyDescent="0.25">
      <c r="A893">
        <v>22200970</v>
      </c>
      <c r="B893" t="s">
        <v>10</v>
      </c>
      <c r="C893" t="s">
        <v>9</v>
      </c>
      <c r="D893">
        <v>79</v>
      </c>
      <c r="E893">
        <v>71</v>
      </c>
      <c r="F893">
        <v>8</v>
      </c>
      <c r="G893">
        <v>3</v>
      </c>
      <c r="H893" s="1">
        <v>6.3078703703703708E-3</v>
      </c>
      <c r="I893">
        <v>2022</v>
      </c>
      <c r="J893" t="s">
        <v>59</v>
      </c>
      <c r="K893" s="2" t="str">
        <f>HYPERLINK("https://www.nba.com/stats/events?CFID=&amp;CFPARAMS=&amp;GameEventID=366&amp;GameID=0022200970&amp;Season=2022-23&amp;flag=1&amp;title=P.%20George%203PT%20%20(27%20PTS)%20(K.%20Leonard%203%20AST)", "P. George 3PT  (27 PTS) (K. Leonard 3 AST)")</f>
        <v>P. George 3PT  (27 PTS) (K. Leonard 3 AST)</v>
      </c>
      <c r="L893" s="2" t="str">
        <f>HYPERLINK("https://www.nba.com/game/...-vs-...-0022200970/play-by-play?watchFullGame=true", "LAC vs MEM - Q3 09:05.00")</f>
        <v>LAC vs MEM - Q3 09:05.00</v>
      </c>
      <c r="M893">
        <v>23.69</v>
      </c>
      <c r="N893">
        <v>91.51</v>
      </c>
      <c r="O893">
        <v>97.06</v>
      </c>
      <c r="P893">
        <v>235</v>
      </c>
      <c r="Q893">
        <v>27</v>
      </c>
      <c r="R893">
        <v>91</v>
      </c>
      <c r="S893">
        <v>97</v>
      </c>
      <c r="T893" t="s">
        <v>58</v>
      </c>
    </row>
    <row r="894" spans="1:20" x14ac:dyDescent="0.25">
      <c r="A894">
        <v>21900016</v>
      </c>
      <c r="B894" t="s">
        <v>4</v>
      </c>
      <c r="C894" t="s">
        <v>69</v>
      </c>
      <c r="D894">
        <v>81</v>
      </c>
      <c r="E894">
        <v>60</v>
      </c>
      <c r="F894">
        <v>21</v>
      </c>
      <c r="G894">
        <v>3</v>
      </c>
      <c r="H894" s="1">
        <v>5.9837962962962961E-3</v>
      </c>
      <c r="I894">
        <v>2019</v>
      </c>
      <c r="J894" t="s">
        <v>59</v>
      </c>
      <c r="K894" s="2" t="str">
        <f>HYPERLINK("https://www.nba.com/stats/events?CFID=&amp;CFPARAMS=&amp;GameEventID=429&amp;GameID=0021900016&amp;Season=2019-20&amp;flag=1&amp;title=[LAC]%20Zubac%20layup:%20Made%20(10%20PTS)%20assist:%20Leonard%20(9%20AST)", "[LAC] Zubac layup: Made (10 PTS) assist: Leonard (9 AST)")</f>
        <v>[LAC] Zubac layup: Made (10 PTS) assist: Leonard (9 AST)</v>
      </c>
      <c r="L894" s="2" t="str">
        <f>HYPERLINK("https://www.nba.com/game/...-vs-...-0021900016/play-by-play?watchFullGame=true", "LAC vs GSW - Q3 08:37.00")</f>
        <v>LAC vs GSW - Q3 08:37.00</v>
      </c>
      <c r="M894">
        <v>2.58</v>
      </c>
      <c r="N894">
        <v>92.72</v>
      </c>
      <c r="O894">
        <v>47.13</v>
      </c>
      <c r="P894">
        <v>-14</v>
      </c>
      <c r="Q894">
        <v>16</v>
      </c>
      <c r="R894">
        <v>92</v>
      </c>
      <c r="S894">
        <v>47</v>
      </c>
      <c r="T894" t="s">
        <v>58</v>
      </c>
    </row>
    <row r="895" spans="1:20" x14ac:dyDescent="0.25">
      <c r="A895">
        <v>21900251</v>
      </c>
      <c r="B895" t="s">
        <v>4</v>
      </c>
      <c r="C895" t="s">
        <v>69</v>
      </c>
      <c r="D895">
        <v>71</v>
      </c>
      <c r="E895">
        <v>51</v>
      </c>
      <c r="F895">
        <v>20</v>
      </c>
      <c r="G895">
        <v>3</v>
      </c>
      <c r="H895" s="1">
        <v>6.8402777777777776E-3</v>
      </c>
      <c r="I895">
        <v>2019</v>
      </c>
      <c r="J895" t="s">
        <v>59</v>
      </c>
      <c r="K895" s="2" t="str">
        <f>HYPERLINK("https://www.nba.com/stats/events?CFID=&amp;CFPARAMS=&amp;GameEventID=391&amp;GameID=0021900251&amp;Season=2019-20&amp;flag=1&amp;title=I.%20Zubac%20layup%20(11%20PTS)%20(K.%20Leonard%204%20AST)", "I. Zubac layup (11 PTS) (K. Leonard 4 AST)")</f>
        <v>I. Zubac layup (11 PTS) (K. Leonard 4 AST)</v>
      </c>
      <c r="L895" s="2" t="str">
        <f>HYPERLINK("https://www.nba.com/game/...-vs-...-0021900251/play-by-play?watchFullGame=true", "LAC vs DAL - Q3 09:51.00")</f>
        <v>LAC vs DAL - Q3 09:51.00</v>
      </c>
      <c r="M895">
        <v>2.16</v>
      </c>
      <c r="N895">
        <v>92.72</v>
      </c>
      <c r="O895">
        <v>50.56</v>
      </c>
      <c r="P895">
        <v>3</v>
      </c>
      <c r="Q895">
        <v>16</v>
      </c>
      <c r="R895">
        <v>92</v>
      </c>
      <c r="S895">
        <v>50</v>
      </c>
      <c r="T895" t="s">
        <v>58</v>
      </c>
    </row>
    <row r="896" spans="1:20" x14ac:dyDescent="0.25">
      <c r="A896">
        <v>21900516</v>
      </c>
      <c r="B896" t="s">
        <v>4</v>
      </c>
      <c r="C896" t="s">
        <v>69</v>
      </c>
      <c r="D896">
        <v>8</v>
      </c>
      <c r="E896">
        <v>10</v>
      </c>
      <c r="F896">
        <v>2</v>
      </c>
      <c r="G896">
        <v>1</v>
      </c>
      <c r="H896" s="1">
        <v>5.0115740740740737E-3</v>
      </c>
      <c r="I896">
        <v>2019</v>
      </c>
      <c r="J896" t="s">
        <v>59</v>
      </c>
      <c r="K896" s="2" t="str">
        <f>HYPERLINK("https://www.nba.com/stats/events?CFID=&amp;CFPARAMS=&amp;GameEventID=59&amp;GameID=0021900516&amp;Season=2019-20&amp;flag=1&amp;title=M.%20Harkless%20layup%20(2%20PTS)%20(K.%20Leonard%202%20AST)", "M. Harkless layup (2 PTS) (K. Leonard 2 AST)")</f>
        <v>M. Harkless layup (2 PTS) (K. Leonard 2 AST)</v>
      </c>
      <c r="L896" s="2" t="str">
        <f>HYPERLINK("https://www.nba.com/game/...-vs-...-0021900516/play-by-play?watchFullGame=true", "LAC vs DET - Q1 07:13.00")</f>
        <v>LAC vs DET - Q1 07:13.00</v>
      </c>
      <c r="M896">
        <v>2.19</v>
      </c>
      <c r="N896">
        <v>92.82</v>
      </c>
      <c r="O896">
        <v>48.46</v>
      </c>
      <c r="P896">
        <v>-8</v>
      </c>
      <c r="Q896">
        <v>15</v>
      </c>
      <c r="R896">
        <v>92</v>
      </c>
      <c r="S896">
        <v>48</v>
      </c>
      <c r="T896" t="s">
        <v>58</v>
      </c>
    </row>
    <row r="897" spans="1:20" x14ac:dyDescent="0.25">
      <c r="A897">
        <v>21900436</v>
      </c>
      <c r="B897" t="s">
        <v>4</v>
      </c>
      <c r="C897" t="s">
        <v>63</v>
      </c>
      <c r="D897">
        <v>74</v>
      </c>
      <c r="E897">
        <v>61</v>
      </c>
      <c r="F897">
        <v>13</v>
      </c>
      <c r="G897">
        <v>3</v>
      </c>
      <c r="H897" s="1">
        <v>8.1481481481481474E-3</v>
      </c>
      <c r="I897">
        <v>2019</v>
      </c>
      <c r="J897" t="s">
        <v>59</v>
      </c>
      <c r="K897" s="2" t="str">
        <f>HYPERLINK("https://www.nba.com/stats/events?CFID=&amp;CFPARAMS=&amp;GameEventID=332&amp;GameID=0021900436&amp;Season=2019-20&amp;flag=1&amp;title=I.%20Zubac%20dunk%20(6%20PTS)%20(K.%20Leonard%205%20AST)", "I. Zubac dunk (6 PTS) (K. Leonard 5 AST)")</f>
        <v>I. Zubac dunk (6 PTS) (K. Leonard 5 AST)</v>
      </c>
      <c r="L897" s="2" t="str">
        <f>HYPERLINK("https://www.nba.com/game/...-vs-...-0021900436/play-by-play?watchFullGame=true", "LAC vs SAS - Q3 11:44.00")</f>
        <v>LAC vs SAS - Q3 11:44.00</v>
      </c>
      <c r="M897">
        <v>1.9</v>
      </c>
      <c r="N897">
        <v>92.99</v>
      </c>
      <c r="O897">
        <v>50.31</v>
      </c>
      <c r="P897">
        <v>2</v>
      </c>
      <c r="Q897">
        <v>13</v>
      </c>
      <c r="R897">
        <v>92</v>
      </c>
      <c r="S897">
        <v>50</v>
      </c>
      <c r="T897" t="s">
        <v>58</v>
      </c>
    </row>
    <row r="898" spans="1:20" x14ac:dyDescent="0.25">
      <c r="A898">
        <v>21901271</v>
      </c>
      <c r="B898" t="s">
        <v>4</v>
      </c>
      <c r="C898" t="s">
        <v>69</v>
      </c>
      <c r="D898">
        <v>74</v>
      </c>
      <c r="E898">
        <v>66</v>
      </c>
      <c r="F898">
        <v>8</v>
      </c>
      <c r="G898">
        <v>3</v>
      </c>
      <c r="H898" s="1">
        <v>4.6874999999999998E-3</v>
      </c>
      <c r="I898">
        <v>2019</v>
      </c>
      <c r="J898" t="s">
        <v>59</v>
      </c>
      <c r="K898" s="2" t="str">
        <f>HYPERLINK("https://www.nba.com/stats/events?CFID=&amp;CFPARAMS=&amp;GameEventID=391&amp;GameID=0021901271&amp;Season=2019-20&amp;flag=1&amp;title=I.%20Zubac%20layup%20(15%20PTS)%20(K.%20Leonard%204%20AST)", "I. Zubac layup (15 PTS) (K. Leonard 4 AST)")</f>
        <v>I. Zubac layup (15 PTS) (K. Leonard 4 AST)</v>
      </c>
      <c r="L898" s="2" t="str">
        <f>HYPERLINK("https://www.nba.com/game/...-vs-...-0021901271/play-by-play?watchFullGame=true", "LAC vs DAL - Q3 06:45.00")</f>
        <v>LAC vs DAL - Q3 06:45.00</v>
      </c>
      <c r="M898">
        <v>3.23</v>
      </c>
      <c r="N898">
        <v>92.46</v>
      </c>
      <c r="O898">
        <v>45.66</v>
      </c>
      <c r="P898">
        <v>-22</v>
      </c>
      <c r="Q898">
        <v>18</v>
      </c>
      <c r="R898">
        <v>92</v>
      </c>
      <c r="S898">
        <v>45</v>
      </c>
      <c r="T898" t="s">
        <v>58</v>
      </c>
    </row>
    <row r="899" spans="1:20" x14ac:dyDescent="0.25">
      <c r="A899">
        <v>21900626</v>
      </c>
      <c r="B899" t="s">
        <v>4</v>
      </c>
      <c r="C899" t="s">
        <v>69</v>
      </c>
      <c r="D899">
        <v>92</v>
      </c>
      <c r="E899">
        <v>98</v>
      </c>
      <c r="F899">
        <v>6</v>
      </c>
      <c r="G899">
        <v>3</v>
      </c>
      <c r="H899" s="1">
        <v>2.9282407407407408E-3</v>
      </c>
      <c r="I899">
        <v>2019</v>
      </c>
      <c r="J899" t="s">
        <v>59</v>
      </c>
      <c r="K899" s="2" t="str">
        <f>HYPERLINK("https://www.nba.com/stats/events?CFID=&amp;CFPARAMS=&amp;GameEventID=487&amp;GameID=0021900626&amp;Season=2019-20&amp;flag=1&amp;title=M.%20Harrell%20layup%20(18%20PTS)%20(K.%20Leonard%205%20AST)", "M. Harrell layup (18 PTS) (K. Leonard 5 AST)")</f>
        <v>M. Harrell layup (18 PTS) (K. Leonard 5 AST)</v>
      </c>
      <c r="L899" s="2" t="str">
        <f>HYPERLINK("https://www.nba.com/game/...-vs-...-0021900626/play-by-play?watchFullGame=true", "LAC vs NOP - Q3 04:13.00")</f>
        <v>LAC vs NOP - Q3 04:13.00</v>
      </c>
      <c r="M899">
        <v>3.16</v>
      </c>
      <c r="N899">
        <v>92.2</v>
      </c>
      <c r="O899">
        <v>53.5</v>
      </c>
      <c r="P899">
        <v>18</v>
      </c>
      <c r="Q899">
        <v>21</v>
      </c>
      <c r="R899">
        <v>92</v>
      </c>
      <c r="S899">
        <v>53</v>
      </c>
      <c r="T899" t="s">
        <v>58</v>
      </c>
    </row>
    <row r="900" spans="1:20" x14ac:dyDescent="0.25">
      <c r="A900">
        <v>22000350</v>
      </c>
      <c r="B900" t="s">
        <v>4</v>
      </c>
      <c r="C900" t="s">
        <v>65</v>
      </c>
      <c r="D900">
        <v>87</v>
      </c>
      <c r="E900">
        <v>94</v>
      </c>
      <c r="F900">
        <v>7</v>
      </c>
      <c r="G900">
        <v>4</v>
      </c>
      <c r="H900" s="1">
        <v>7.2222222222222219E-3</v>
      </c>
      <c r="I900">
        <v>2020</v>
      </c>
      <c r="J900" t="s">
        <v>59</v>
      </c>
      <c r="K900" s="2" t="str">
        <f>HYPERLINK("https://www.nba.com/stats/events?CFID=&amp;CFPARAMS=&amp;GameEventID=476&amp;GameID=0022000350&amp;Season=2020-21&amp;flag=1&amp;title=T.%20Mann%20running%20DUNK%20(4%20PTS)%20(K.%20Leonard%204%20AST)", "T. Mann running DUNK (4 PTS) (K. Leonard 4 AST)")</f>
        <v>T. Mann running DUNK (4 PTS) (K. Leonard 4 AST)</v>
      </c>
      <c r="L900" s="2" t="str">
        <f>HYPERLINK("https://www.nba.com/game/...-vs-...-0022000350/play-by-play?watchFullGame=true", "LAC vs BOS - Q4 10:24.00")</f>
        <v>LAC vs BOS - Q4 10:24.00</v>
      </c>
      <c r="M900">
        <v>1.99</v>
      </c>
      <c r="N900">
        <v>92.46</v>
      </c>
      <c r="O900">
        <v>51.54</v>
      </c>
      <c r="P900">
        <v>8</v>
      </c>
      <c r="Q900">
        <v>18</v>
      </c>
      <c r="R900">
        <v>92</v>
      </c>
      <c r="S900">
        <v>51</v>
      </c>
      <c r="T900" t="s">
        <v>58</v>
      </c>
    </row>
    <row r="901" spans="1:20" x14ac:dyDescent="0.25">
      <c r="A901">
        <v>22001002</v>
      </c>
      <c r="B901" t="s">
        <v>4</v>
      </c>
      <c r="C901" t="s">
        <v>65</v>
      </c>
      <c r="D901">
        <v>15</v>
      </c>
      <c r="E901">
        <v>11</v>
      </c>
      <c r="F901">
        <v>4</v>
      </c>
      <c r="G901">
        <v>1</v>
      </c>
      <c r="H901" s="1">
        <v>4.8842592592592592E-3</v>
      </c>
      <c r="I901">
        <v>2020</v>
      </c>
      <c r="J901" t="s">
        <v>59</v>
      </c>
      <c r="K901" s="2" t="str">
        <f>HYPERLINK("https://www.nba.com/stats/events?CFID=&amp;CFPARAMS=&amp;GameEventID=54&amp;GameID=0022001002&amp;Season=2020-21&amp;flag=1&amp;title=I.%20Zubac%20DUNK%20(4%20PTS)%20(K.%20Leonard%203%20AST)", "I. Zubac DUNK (4 PTS) (K. Leonard 3 AST)")</f>
        <v>I. Zubac DUNK (4 PTS) (K. Leonard 3 AST)</v>
      </c>
      <c r="L901" s="2" t="str">
        <f>HYPERLINK("https://www.nba.com/game/...-vs-...-0022001002/play-by-play?watchFullGame=true", "LAC vs LAL - Q1 07:02.00")</f>
        <v>LAC vs LAL - Q1 07:02.00</v>
      </c>
      <c r="M901">
        <v>1.88</v>
      </c>
      <c r="N901">
        <v>92.59</v>
      </c>
      <c r="O901">
        <v>51.54</v>
      </c>
      <c r="P901">
        <v>8</v>
      </c>
      <c r="Q901">
        <v>17</v>
      </c>
      <c r="R901">
        <v>92</v>
      </c>
      <c r="S901">
        <v>51</v>
      </c>
      <c r="T901" t="s">
        <v>58</v>
      </c>
    </row>
    <row r="902" spans="1:20" x14ac:dyDescent="0.25">
      <c r="A902">
        <v>22200255</v>
      </c>
      <c r="B902" t="s">
        <v>4</v>
      </c>
      <c r="C902" t="s">
        <v>64</v>
      </c>
      <c r="D902">
        <v>99</v>
      </c>
      <c r="E902">
        <v>99</v>
      </c>
      <c r="F902">
        <v>0</v>
      </c>
      <c r="G902">
        <v>4</v>
      </c>
      <c r="H902" s="1">
        <v>5.5671296296296293E-3</v>
      </c>
      <c r="I902">
        <v>2022</v>
      </c>
      <c r="J902" t="s">
        <v>59</v>
      </c>
      <c r="K902" s="2" t="str">
        <f>HYPERLINK("https://www.nba.com/stats/events?CFID=&amp;CFPARAMS=&amp;GameEventID=542&amp;GameID=0022200255&amp;Season=2022-23&amp;flag=1&amp;title=A.%20Coffey%20driving%20Layup%20(6%20PTS)%20(K.%20Leonard%205%20AST)", "A. Coffey driving Layup (6 PTS) (K. Leonard 5 AST)")</f>
        <v>A. Coffey driving Layup (6 PTS) (K. Leonard 5 AST)</v>
      </c>
      <c r="L902" s="2" t="str">
        <f>HYPERLINK("https://www.nba.com/game/...-vs-...-0022200255/play-by-play?watchFullGame=true", "LAC vs UTA - Q4 08:01.00")</f>
        <v>LAC vs UTA - Q4 08:01.00</v>
      </c>
      <c r="M902">
        <v>1.78</v>
      </c>
      <c r="N902">
        <v>92.69</v>
      </c>
      <c r="O902">
        <v>48.53</v>
      </c>
      <c r="P902">
        <v>-7</v>
      </c>
      <c r="Q902">
        <v>16</v>
      </c>
      <c r="R902">
        <v>92</v>
      </c>
      <c r="S902">
        <v>48</v>
      </c>
      <c r="T902" t="s">
        <v>58</v>
      </c>
    </row>
    <row r="903" spans="1:20" x14ac:dyDescent="0.25">
      <c r="A903">
        <v>21900035</v>
      </c>
      <c r="B903" t="s">
        <v>10</v>
      </c>
      <c r="C903" t="s">
        <v>61</v>
      </c>
      <c r="D903">
        <v>103</v>
      </c>
      <c r="E903">
        <v>115</v>
      </c>
      <c r="F903">
        <v>12</v>
      </c>
      <c r="G903">
        <v>4</v>
      </c>
      <c r="H903" s="1">
        <v>3.2175925925925926E-3</v>
      </c>
      <c r="I903">
        <v>2019</v>
      </c>
      <c r="J903" t="s">
        <v>59</v>
      </c>
      <c r="K903" s="2" t="str">
        <f>HYPERLINK("https://www.nba.com/stats/events?CFID=&amp;CFPARAMS=&amp;GameEventID=681&amp;GameID=0021900035&amp;Season=2019-20&amp;flag=1&amp;title=[LAC]%20Williams%203pt%20shot:%20Made%20(20%20PTS)%20assist:%20Leonard%20(9%20AST)", "[LAC] Williams 3pt shot: Made (20 PTS) assist: Leonard (9 AST)")</f>
        <v>[LAC] Williams 3pt shot: Made (20 PTS) assist: Leonard (9 AST)</v>
      </c>
      <c r="L903" s="2" t="str">
        <f>HYPERLINK("https://www.nba.com/game/...-vs-...-0021900035/play-by-play?watchFullGame=true", "LAC vs PHX - Q4 04:38.00")</f>
        <v>LAC vs PHX - Q4 04:38.00</v>
      </c>
      <c r="M903">
        <v>23.1</v>
      </c>
      <c r="N903">
        <v>92.72</v>
      </c>
      <c r="O903">
        <v>3.99</v>
      </c>
      <c r="P903">
        <v>-230</v>
      </c>
      <c r="Q903">
        <v>16</v>
      </c>
      <c r="R903">
        <v>92</v>
      </c>
      <c r="S903">
        <v>3</v>
      </c>
      <c r="T903" t="s">
        <v>58</v>
      </c>
    </row>
    <row r="904" spans="1:20" x14ac:dyDescent="0.25">
      <c r="A904">
        <v>22201129</v>
      </c>
      <c r="B904" t="s">
        <v>4</v>
      </c>
      <c r="C904" t="s">
        <v>64</v>
      </c>
      <c r="D904">
        <v>77</v>
      </c>
      <c r="E904">
        <v>62</v>
      </c>
      <c r="F904">
        <v>15</v>
      </c>
      <c r="G904">
        <v>3</v>
      </c>
      <c r="H904" s="1">
        <v>5.1967592592592595E-3</v>
      </c>
      <c r="I904">
        <v>2022</v>
      </c>
      <c r="J904" t="s">
        <v>59</v>
      </c>
      <c r="K904" s="2" t="str">
        <f>HYPERLINK("https://www.nba.com/stats/events?CFID=&amp;CFPARAMS=&amp;GameEventID=344&amp;GameID=0022201129&amp;Season=2022-23&amp;flag=1&amp;title=I.%20Zubac%20reverse%20Layup%20(8%20PTS)%20(K.%20Leonard%206%20AST)", "I. Zubac reverse Layup (8 PTS) (K. Leonard 6 AST)")</f>
        <v>I. Zubac reverse Layup (8 PTS) (K. Leonard 6 AST)</v>
      </c>
      <c r="L904" s="2" t="str">
        <f>HYPERLINK("https://www.nba.com/game/...-vs-...-0022201129/play-by-play?watchFullGame=true", "LAC vs CHI - Q3 07:29.00")</f>
        <v>LAC vs CHI - Q3 07:29.00</v>
      </c>
      <c r="M904">
        <v>1.39</v>
      </c>
      <c r="N904">
        <v>92.95</v>
      </c>
      <c r="O904">
        <v>50.49</v>
      </c>
      <c r="P904">
        <v>2</v>
      </c>
      <c r="Q904">
        <v>14</v>
      </c>
      <c r="R904">
        <v>92</v>
      </c>
      <c r="S904">
        <v>50</v>
      </c>
      <c r="T904" t="s">
        <v>58</v>
      </c>
    </row>
    <row r="905" spans="1:20" x14ac:dyDescent="0.25">
      <c r="A905">
        <v>22201162</v>
      </c>
      <c r="B905" t="s">
        <v>10</v>
      </c>
      <c r="C905" t="s">
        <v>9</v>
      </c>
      <c r="D905">
        <v>29</v>
      </c>
      <c r="E905">
        <v>19</v>
      </c>
      <c r="F905">
        <v>10</v>
      </c>
      <c r="G905">
        <v>1</v>
      </c>
      <c r="H905" s="1">
        <v>1.4814814814814814E-3</v>
      </c>
      <c r="I905">
        <v>2022</v>
      </c>
      <c r="J905" t="s">
        <v>59</v>
      </c>
      <c r="K905" s="2" t="str">
        <f>HYPERLINK("https://www.nba.com/stats/events?CFID=&amp;CFPARAMS=&amp;GameEventID=127&amp;GameID=0022201162&amp;Season=2022-23&amp;flag=1&amp;title=T.%20Mann%203PT%20%20(3%20PTS)%20(K.%20Leonard%203%20AST)", "T. Mann 3PT  (3 PTS) (K. Leonard 3 AST)")</f>
        <v>T. Mann 3PT  (3 PTS) (K. Leonard 3 AST)</v>
      </c>
      <c r="L905" s="2" t="str">
        <f>HYPERLINK("https://www.nba.com/game/...-vs-...-0022201162/play-by-play?watchFullGame=true", "LAC vs NOP - Q1 02:08.00")</f>
        <v>LAC vs NOP - Q1 02:08.00</v>
      </c>
      <c r="M905">
        <v>23.24</v>
      </c>
      <c r="N905">
        <v>92.33</v>
      </c>
      <c r="O905">
        <v>96.32</v>
      </c>
      <c r="P905">
        <v>232</v>
      </c>
      <c r="Q905">
        <v>20</v>
      </c>
      <c r="R905">
        <v>92</v>
      </c>
      <c r="S905">
        <v>96</v>
      </c>
      <c r="T905" t="s">
        <v>58</v>
      </c>
    </row>
    <row r="906" spans="1:20" x14ac:dyDescent="0.25">
      <c r="A906">
        <v>22000188</v>
      </c>
      <c r="B906" t="s">
        <v>10</v>
      </c>
      <c r="C906" t="s">
        <v>9</v>
      </c>
      <c r="D906">
        <v>66</v>
      </c>
      <c r="E906">
        <v>57</v>
      </c>
      <c r="F906">
        <v>9</v>
      </c>
      <c r="G906">
        <v>2</v>
      </c>
      <c r="H906" s="1">
        <v>9.2592592592592596E-4</v>
      </c>
      <c r="I906">
        <v>2020</v>
      </c>
      <c r="J906" t="s">
        <v>59</v>
      </c>
      <c r="K906" s="2" t="str">
        <f>HYPERLINK("https://www.nba.com/stats/events?CFID=&amp;CFPARAMS=&amp;GameEventID=295&amp;GameID=0022000188&amp;Season=2020-21&amp;flag=1&amp;title=M.%20Morris%20Sr.%203PT%20%20(14%20PTS)%20(K.%20Leonard%204%20AST)", "M. Morris Sr. 3PT  (14 PTS) (K. Leonard 4 AST)")</f>
        <v>M. Morris Sr. 3PT  (14 PTS) (K. Leonard 4 AST)</v>
      </c>
      <c r="L906" s="2" t="str">
        <f>HYPERLINK("https://www.nba.com/game/...-vs-...-0022000188/play-by-play?watchFullGame=true", "LAC vs SAC - Q2 01:20.00")</f>
        <v>LAC vs SAC - Q2 01:20.00</v>
      </c>
      <c r="M906">
        <v>23.59</v>
      </c>
      <c r="N906">
        <v>92.07</v>
      </c>
      <c r="O906">
        <v>3.01</v>
      </c>
      <c r="P906">
        <v>-235</v>
      </c>
      <c r="Q906">
        <v>22</v>
      </c>
      <c r="R906">
        <v>92</v>
      </c>
      <c r="S906">
        <v>3</v>
      </c>
      <c r="T906" t="s">
        <v>58</v>
      </c>
    </row>
    <row r="907" spans="1:20" x14ac:dyDescent="0.25">
      <c r="A907">
        <v>22300731</v>
      </c>
      <c r="B907" t="s">
        <v>4</v>
      </c>
      <c r="C907" t="s">
        <v>64</v>
      </c>
      <c r="D907">
        <v>58</v>
      </c>
      <c r="E907">
        <v>64</v>
      </c>
      <c r="F907">
        <v>6</v>
      </c>
      <c r="G907">
        <v>3</v>
      </c>
      <c r="H907" s="1">
        <v>3.9004629629629628E-3</v>
      </c>
      <c r="I907">
        <v>2023</v>
      </c>
      <c r="J907" t="s">
        <v>59</v>
      </c>
      <c r="K907" s="2" t="str">
        <f>HYPERLINK("https://www.nba.com/stats/events?CFID=&amp;CFPARAMS=&amp;GameEventID=387&amp;GameID=0022300731&amp;Season=2023-24&amp;flag=1&amp;title=R.%20Westbrook%20cutting%20Layup%20(4%20PTS)%20(K.%20Leonard%202%20AST)", "R. Westbrook cutting Layup (4 PTS) (K. Leonard 2 AST)")</f>
        <v>R. Westbrook cutting Layup (4 PTS) (K. Leonard 2 AST)</v>
      </c>
      <c r="L907" s="2" t="str">
        <f>HYPERLINK("https://www.nba.com/game/...-vs-...-0022300731/play-by-play?watchFullGame=true", "LAC vs NOP - Q3 05:37.00")</f>
        <v>LAC vs NOP - Q3 05:37.00</v>
      </c>
      <c r="M907">
        <v>2.36</v>
      </c>
      <c r="N907">
        <v>92.03</v>
      </c>
      <c r="O907">
        <v>48.53</v>
      </c>
      <c r="P907">
        <v>-7</v>
      </c>
      <c r="Q907">
        <v>22</v>
      </c>
      <c r="R907">
        <v>92</v>
      </c>
      <c r="S907">
        <v>48</v>
      </c>
      <c r="T907" t="s">
        <v>58</v>
      </c>
    </row>
    <row r="908" spans="1:20" x14ac:dyDescent="0.25">
      <c r="A908">
        <v>22200604</v>
      </c>
      <c r="B908" t="s">
        <v>4</v>
      </c>
      <c r="C908" t="s">
        <v>64</v>
      </c>
      <c r="D908">
        <v>5</v>
      </c>
      <c r="E908">
        <v>0</v>
      </c>
      <c r="F908">
        <v>5</v>
      </c>
      <c r="G908">
        <v>1</v>
      </c>
      <c r="H908" s="1">
        <v>7.8125E-3</v>
      </c>
      <c r="I908">
        <v>2022</v>
      </c>
      <c r="J908" t="s">
        <v>59</v>
      </c>
      <c r="K908" s="2" t="str">
        <f>HYPERLINK("https://www.nba.com/stats/events?CFID=&amp;CFPARAMS=&amp;GameEventID=14&amp;GameID=0022200604&amp;Season=2022-23&amp;flag=1&amp;title=T.%20Mann%20cutting%20Layup%20(5%20PTS)%20(K.%20Leonard%201%20AST)", "T. Mann cutting Layup (5 PTS) (K. Leonard 1 AST)")</f>
        <v>T. Mann cutting Layup (5 PTS) (K. Leonard 1 AST)</v>
      </c>
      <c r="L908" s="2" t="str">
        <f>HYPERLINK("https://www.nba.com/game/...-vs-...-0022200604/play-by-play?watchFullGame=true", "LAC vs ATL - Q1 11:15.00")</f>
        <v>LAC vs ATL - Q1 11:15.00</v>
      </c>
      <c r="M908">
        <v>2.27</v>
      </c>
      <c r="N908">
        <v>92.69</v>
      </c>
      <c r="O908">
        <v>53.19</v>
      </c>
      <c r="P908">
        <v>16</v>
      </c>
      <c r="Q908">
        <v>16</v>
      </c>
      <c r="R908">
        <v>92</v>
      </c>
      <c r="S908">
        <v>53</v>
      </c>
      <c r="T908" t="s">
        <v>58</v>
      </c>
    </row>
    <row r="909" spans="1:20" x14ac:dyDescent="0.25">
      <c r="A909">
        <v>22200902</v>
      </c>
      <c r="B909" t="s">
        <v>10</v>
      </c>
      <c r="C909" t="s">
        <v>9</v>
      </c>
      <c r="D909">
        <v>16</v>
      </c>
      <c r="E909">
        <v>15</v>
      </c>
      <c r="F909">
        <v>1</v>
      </c>
      <c r="G909">
        <v>1</v>
      </c>
      <c r="H909" s="1">
        <v>5.6828703703703702E-3</v>
      </c>
      <c r="I909">
        <v>2022</v>
      </c>
      <c r="J909" t="s">
        <v>59</v>
      </c>
      <c r="K909" s="2" t="str">
        <f>HYPERLINK("https://www.nba.com/stats/events?CFID=&amp;CFPARAMS=&amp;GameEventID=46&amp;GameID=0022200902&amp;Season=2022-23&amp;flag=1&amp;title=P.%20George%203PT%20%20(6%20PTS)%20(K.%20Leonard%201%20AST)", "P. George 3PT  (6 PTS) (K. Leonard 1 AST)")</f>
        <v>P. George 3PT  (6 PTS) (K. Leonard 1 AST)</v>
      </c>
      <c r="L909" s="2" t="str">
        <f>HYPERLINK("https://www.nba.com/game/...-vs-...-0022200902/play-by-play?watchFullGame=true", "LAC vs SAC - Q1 08:11.00")</f>
        <v>LAC vs SAC - Q1 08:11.00</v>
      </c>
      <c r="M909">
        <v>22.83</v>
      </c>
      <c r="N909">
        <v>92.95</v>
      </c>
      <c r="O909">
        <v>95.59</v>
      </c>
      <c r="P909">
        <v>228</v>
      </c>
      <c r="Q909">
        <v>14</v>
      </c>
      <c r="R909">
        <v>92</v>
      </c>
      <c r="S909">
        <v>95</v>
      </c>
      <c r="T909" t="s">
        <v>58</v>
      </c>
    </row>
    <row r="910" spans="1:20" x14ac:dyDescent="0.25">
      <c r="A910">
        <v>21900458</v>
      </c>
      <c r="B910" t="s">
        <v>4</v>
      </c>
      <c r="C910" t="s">
        <v>63</v>
      </c>
      <c r="D910">
        <v>53</v>
      </c>
      <c r="E910">
        <v>65</v>
      </c>
      <c r="F910">
        <v>12</v>
      </c>
      <c r="G910">
        <v>3</v>
      </c>
      <c r="H910" s="1">
        <v>7.1643518518518514E-3</v>
      </c>
      <c r="I910">
        <v>2019</v>
      </c>
      <c r="J910" t="s">
        <v>59</v>
      </c>
      <c r="K910" s="2" t="str">
        <f>HYPERLINK("https://www.nba.com/stats/events?CFID=&amp;CFPARAMS=&amp;GameEventID=391&amp;GameID=0021900458&amp;Season=2019-20&amp;flag=1&amp;title=I.%20Zubac%20dunk%20(7%20PTS)%20(K.%20Leonard%204%20AST)", "I. Zubac dunk (7 PTS) (K. Leonard 4 AST)")</f>
        <v>I. Zubac dunk (7 PTS) (K. Leonard 4 AST)</v>
      </c>
      <c r="L910" s="2" t="str">
        <f>HYPERLINK("https://www.nba.com/game/...-vs-...-0021900458/play-by-play?watchFullGame=true", "LAC vs LAL - Q3 10:19.00")</f>
        <v>LAC vs LAL - Q3 10:19.00</v>
      </c>
      <c r="M910">
        <v>2.06</v>
      </c>
      <c r="N910">
        <v>92.82</v>
      </c>
      <c r="O910">
        <v>50.42</v>
      </c>
      <c r="P910">
        <v>2</v>
      </c>
      <c r="Q910">
        <v>15</v>
      </c>
      <c r="R910">
        <v>92</v>
      </c>
      <c r="S910">
        <v>50</v>
      </c>
      <c r="T910" t="s">
        <v>58</v>
      </c>
    </row>
    <row r="911" spans="1:20" x14ac:dyDescent="0.25">
      <c r="A911">
        <v>22200579</v>
      </c>
      <c r="B911" t="s">
        <v>4</v>
      </c>
      <c r="C911" t="s">
        <v>64</v>
      </c>
      <c r="D911">
        <v>11</v>
      </c>
      <c r="E911">
        <v>18</v>
      </c>
      <c r="F911">
        <v>7</v>
      </c>
      <c r="G911">
        <v>1</v>
      </c>
      <c r="H911" s="1">
        <v>4.3750000000000004E-3</v>
      </c>
      <c r="I911">
        <v>2022</v>
      </c>
      <c r="J911" t="s">
        <v>59</v>
      </c>
      <c r="K911" s="2" t="str">
        <f>HYPERLINK("https://www.nba.com/stats/events?CFID=&amp;CFPARAMS=&amp;GameEventID=66&amp;GameID=0022200579&amp;Season=2022-23&amp;flag=1&amp;title=I.%20Zubac%20driving%20reverse%20Layup%20(4%20PTS)%20(K.%20Leonard%201%20AST)", "I. Zubac driving reverse Layup (4 PTS) (K. Leonard 1 AST)")</f>
        <v>I. Zubac driving reverse Layup (4 PTS) (K. Leonard 1 AST)</v>
      </c>
      <c r="L911" s="2" t="str">
        <f>HYPERLINK("https://www.nba.com/game/...-vs-...-0022200579/play-by-play?watchFullGame=true", "LAC vs DEN - Q1 06:18.00")</f>
        <v>LAC vs DEN - Q1 06:18.00</v>
      </c>
      <c r="M911">
        <v>2.82</v>
      </c>
      <c r="N911">
        <v>92.72</v>
      </c>
      <c r="O911">
        <v>45.34</v>
      </c>
      <c r="P911">
        <v>-23</v>
      </c>
      <c r="Q911">
        <v>16</v>
      </c>
      <c r="R911">
        <v>92</v>
      </c>
      <c r="S911">
        <v>45</v>
      </c>
      <c r="T911" t="s">
        <v>58</v>
      </c>
    </row>
    <row r="912" spans="1:20" x14ac:dyDescent="0.25">
      <c r="A912">
        <v>21901291</v>
      </c>
      <c r="B912" t="s">
        <v>4</v>
      </c>
      <c r="C912" t="s">
        <v>69</v>
      </c>
      <c r="D912">
        <v>46</v>
      </c>
      <c r="E912">
        <v>64</v>
      </c>
      <c r="F912">
        <v>18</v>
      </c>
      <c r="G912">
        <v>2</v>
      </c>
      <c r="H912" s="1">
        <v>3.2870370370370371E-3</v>
      </c>
      <c r="I912">
        <v>2019</v>
      </c>
      <c r="J912" t="s">
        <v>59</v>
      </c>
      <c r="K912" s="2" t="str">
        <f>HYPERLINK("https://www.nba.com/stats/events?CFID=&amp;CFPARAMS=&amp;GameEventID=238&amp;GameID=0021901291&amp;Season=2019-20&amp;flag=1&amp;title=I.%20Zubac%20layup%20(4%20PTS)%20(K.%20Leonard%202%20AST)", "I. Zubac layup (4 PTS) (K. Leonard 2 AST)")</f>
        <v>I. Zubac layup (4 PTS) (K. Leonard 2 AST)</v>
      </c>
      <c r="L912" s="2" t="str">
        <f>HYPERLINK("https://www.nba.com/game/...-vs-...-0021901291/play-by-play?watchFullGame=true", "LAC vs BKN - Q2 04:44.00")</f>
        <v>LAC vs BKN - Q2 04:44.00</v>
      </c>
      <c r="M912">
        <v>2.92</v>
      </c>
      <c r="N912">
        <v>92.2</v>
      </c>
      <c r="O912">
        <v>52.52</v>
      </c>
      <c r="P912">
        <v>13</v>
      </c>
      <c r="Q912">
        <v>21</v>
      </c>
      <c r="R912">
        <v>92</v>
      </c>
      <c r="S912">
        <v>52</v>
      </c>
      <c r="T912" t="s">
        <v>58</v>
      </c>
    </row>
    <row r="913" spans="1:20" x14ac:dyDescent="0.25">
      <c r="A913">
        <v>22201229</v>
      </c>
      <c r="B913" t="s">
        <v>4</v>
      </c>
      <c r="C913" t="s">
        <v>64</v>
      </c>
      <c r="D913">
        <v>34</v>
      </c>
      <c r="E913">
        <v>37</v>
      </c>
      <c r="F913">
        <v>3</v>
      </c>
      <c r="G913">
        <v>2</v>
      </c>
      <c r="H913" s="1">
        <v>4.386574074074074E-3</v>
      </c>
      <c r="I913">
        <v>2022</v>
      </c>
      <c r="J913" t="s">
        <v>59</v>
      </c>
      <c r="K913" s="2" t="str">
        <f>HYPERLINK("https://www.nba.com/stats/events?CFID=&amp;CFPARAMS=&amp;GameEventID=233&amp;GameID=0022201229&amp;Season=2022-23&amp;flag=1&amp;title=N.%20Powell%20running%20Layup%20(8%20PTS)%20(K.%20Leonard%203%20AST)", "N. Powell running Layup (8 PTS) (K. Leonard 3 AST)")</f>
        <v>N. Powell running Layup (8 PTS) (K. Leonard 3 AST)</v>
      </c>
      <c r="L913" s="2" t="str">
        <f>HYPERLINK("https://www.nba.com/game/...-vs-...-0022201229/play-by-play?watchFullGame=true", "LAC vs PHX - Q2 06:19.00")</f>
        <v>LAC vs PHX - Q2 06:19.00</v>
      </c>
      <c r="M913">
        <v>2.86</v>
      </c>
      <c r="N913">
        <v>92.33</v>
      </c>
      <c r="O913">
        <v>54.17</v>
      </c>
      <c r="P913">
        <v>21</v>
      </c>
      <c r="Q913">
        <v>20</v>
      </c>
      <c r="R913">
        <v>92</v>
      </c>
      <c r="S913">
        <v>54</v>
      </c>
      <c r="T913" t="s">
        <v>58</v>
      </c>
    </row>
    <row r="914" spans="1:20" x14ac:dyDescent="0.25">
      <c r="A914">
        <v>22300074</v>
      </c>
      <c r="B914" t="s">
        <v>4</v>
      </c>
      <c r="C914" t="s">
        <v>65</v>
      </c>
      <c r="D914">
        <v>62</v>
      </c>
      <c r="E914">
        <v>42</v>
      </c>
      <c r="F914">
        <v>20</v>
      </c>
      <c r="G914">
        <v>2</v>
      </c>
      <c r="H914" s="1">
        <v>1.4120370370370369E-3</v>
      </c>
      <c r="I914">
        <v>2023</v>
      </c>
      <c r="J914" t="s">
        <v>59</v>
      </c>
      <c r="K914" s="2" t="str">
        <f>HYPERLINK("https://www.nba.com/stats/events?CFID=&amp;CFPARAMS=&amp;GameEventID=318&amp;GameID=0022300074&amp;Season=2023-24&amp;flag=1&amp;title=R.%20Westbrook%20running%20DUNK%20(11%20PTS)%20(K.%20Leonard%204%20AST)", "R. Westbrook running DUNK (11 PTS) (K. Leonard 4 AST)")</f>
        <v>R. Westbrook running DUNK (11 PTS) (K. Leonard 4 AST)</v>
      </c>
      <c r="L914" s="2" t="str">
        <f>HYPERLINK("https://www.nba.com/game/...-vs-...-0022300074/play-by-play?watchFullGame=true", "LAC vs POR - Q2 02:02.00")</f>
        <v>LAC vs POR - Q2 02:02.00</v>
      </c>
      <c r="M914">
        <v>2.12</v>
      </c>
      <c r="N914">
        <v>92.16</v>
      </c>
      <c r="O914">
        <v>50.49</v>
      </c>
      <c r="P914">
        <v>2</v>
      </c>
      <c r="Q914">
        <v>21</v>
      </c>
      <c r="R914">
        <v>92</v>
      </c>
      <c r="S914">
        <v>50</v>
      </c>
      <c r="T914" t="s">
        <v>58</v>
      </c>
    </row>
    <row r="915" spans="1:20" x14ac:dyDescent="0.25">
      <c r="A915">
        <v>21900499</v>
      </c>
      <c r="B915" t="s">
        <v>4</v>
      </c>
      <c r="C915" t="s">
        <v>69</v>
      </c>
      <c r="D915">
        <v>48</v>
      </c>
      <c r="E915">
        <v>35</v>
      </c>
      <c r="F915">
        <v>13</v>
      </c>
      <c r="G915">
        <v>2</v>
      </c>
      <c r="H915" s="1">
        <v>2.8124999999999999E-3</v>
      </c>
      <c r="I915">
        <v>2019</v>
      </c>
      <c r="J915" t="s">
        <v>59</v>
      </c>
      <c r="K915" s="2" t="str">
        <f>HYPERLINK("https://www.nba.com/stats/events?CFID=&amp;CFPARAMS=&amp;GameEventID=272&amp;GameID=0021900499&amp;Season=2019-20&amp;flag=1&amp;title=M.%20Harkless%20layup%20(7%20PTS)%20(K.%20Leonard%204%20AST)", "M. Harkless layup (7 PTS) (K. Leonard 4 AST)")</f>
        <v>M. Harkless layup (7 PTS) (K. Leonard 4 AST)</v>
      </c>
      <c r="L915" s="2" t="str">
        <f>HYPERLINK("https://www.nba.com/game/...-vs-...-0021900499/play-by-play?watchFullGame=true", "LAC vs SAC - Q2 04:03.00")</f>
        <v>LAC vs SAC - Q2 04:03.00</v>
      </c>
      <c r="M915">
        <v>3.49</v>
      </c>
      <c r="N915">
        <v>92.2</v>
      </c>
      <c r="O915">
        <v>45.41</v>
      </c>
      <c r="P915">
        <v>-23</v>
      </c>
      <c r="Q915">
        <v>21</v>
      </c>
      <c r="R915">
        <v>92</v>
      </c>
      <c r="S915">
        <v>45</v>
      </c>
      <c r="T915" t="s">
        <v>58</v>
      </c>
    </row>
    <row r="916" spans="1:20" x14ac:dyDescent="0.25">
      <c r="A916">
        <v>22300553</v>
      </c>
      <c r="B916" t="s">
        <v>10</v>
      </c>
      <c r="C916" t="s">
        <v>9</v>
      </c>
      <c r="D916">
        <v>59</v>
      </c>
      <c r="E916">
        <v>66</v>
      </c>
      <c r="F916">
        <v>7</v>
      </c>
      <c r="G916">
        <v>3</v>
      </c>
      <c r="H916" s="1">
        <v>3.6111111111111109E-3</v>
      </c>
      <c r="I916">
        <v>2023</v>
      </c>
      <c r="J916" t="s">
        <v>59</v>
      </c>
      <c r="K916" s="2" t="str">
        <f>HYPERLINK("https://www.nba.com/stats/events?CFID=&amp;CFPARAMS=&amp;GameEventID=372&amp;GameID=0022300553&amp;Season=2023-24&amp;flag=1&amp;title=P.%20George%203PT%20%20(8%20PTS)%20(K.%20Leonard%203%20AST)", "P. George 3PT  (8 PTS) (K. Leonard 3 AST)")</f>
        <v>P. George 3PT  (8 PTS) (K. Leonard 3 AST)</v>
      </c>
      <c r="L916" s="2" t="str">
        <f>HYPERLINK("https://www.nba.com/game/...-vs-...-0022300553/play-by-play?watchFullGame=true", "LAC vs MIN - Q3 05:12.00")</f>
        <v>LAC vs MIN - Q3 05:12.00</v>
      </c>
      <c r="M916">
        <v>23.08</v>
      </c>
      <c r="N916">
        <v>92.99</v>
      </c>
      <c r="O916">
        <v>96.08</v>
      </c>
      <c r="P916">
        <v>230</v>
      </c>
      <c r="Q916">
        <v>13</v>
      </c>
      <c r="R916">
        <v>92</v>
      </c>
      <c r="S916">
        <v>96</v>
      </c>
      <c r="T916" t="s">
        <v>58</v>
      </c>
    </row>
    <row r="917" spans="1:20" x14ac:dyDescent="0.25">
      <c r="A917">
        <v>22300749</v>
      </c>
      <c r="B917" t="s">
        <v>4</v>
      </c>
      <c r="C917" t="s">
        <v>70</v>
      </c>
      <c r="D917">
        <v>14</v>
      </c>
      <c r="E917">
        <v>9</v>
      </c>
      <c r="F917">
        <v>5</v>
      </c>
      <c r="G917">
        <v>1</v>
      </c>
      <c r="H917" s="1">
        <v>4.2245370370370371E-3</v>
      </c>
      <c r="I917">
        <v>2023</v>
      </c>
      <c r="J917" t="s">
        <v>59</v>
      </c>
      <c r="K917" s="2" t="str">
        <f>HYPERLINK("https://www.nba.com/stats/events?CFID=&amp;CFPARAMS=&amp;GameEventID=65&amp;GameID=0022300749&amp;Season=2023-24&amp;flag=1&amp;title=I.%20Zubac%20turnaround%20Hook%20(4%20PTS)%20(K.%20Leonard%202%20AST)", "I. Zubac turnaround Hook (4 PTS) (K. Leonard 2 AST)")</f>
        <v>I. Zubac turnaround Hook (4 PTS) (K. Leonard 2 AST)</v>
      </c>
      <c r="L917" s="2" t="str">
        <f>HYPERLINK("https://www.nba.com/game/...-vs-...-0022300749/play-by-play?watchFullGame=true", "LAC vs DET - Q1 06:05.00")</f>
        <v>LAC vs DET - Q1 06:05.00</v>
      </c>
      <c r="M917">
        <v>2.6</v>
      </c>
      <c r="N917">
        <v>92.46</v>
      </c>
      <c r="O917">
        <v>46.32</v>
      </c>
      <c r="P917">
        <v>-18</v>
      </c>
      <c r="Q917">
        <v>18</v>
      </c>
      <c r="R917">
        <v>92</v>
      </c>
      <c r="S917">
        <v>46</v>
      </c>
      <c r="T917" t="s">
        <v>58</v>
      </c>
    </row>
    <row r="918" spans="1:20" x14ac:dyDescent="0.25">
      <c r="A918">
        <v>22300309</v>
      </c>
      <c r="B918" t="s">
        <v>4</v>
      </c>
      <c r="C918" t="s">
        <v>65</v>
      </c>
      <c r="D918">
        <v>32</v>
      </c>
      <c r="E918">
        <v>24</v>
      </c>
      <c r="F918">
        <v>8</v>
      </c>
      <c r="G918">
        <v>1</v>
      </c>
      <c r="H918" s="1">
        <v>6.5162037037037033E-4</v>
      </c>
      <c r="I918">
        <v>2023</v>
      </c>
      <c r="J918" t="s">
        <v>59</v>
      </c>
      <c r="K918" s="2" t="str">
        <f>HYPERLINK("https://www.nba.com/stats/events?CFID=&amp;CFPARAMS=&amp;GameEventID=134&amp;GameID=0022300309&amp;Season=2023-24&amp;flag=1&amp;title=D.%20Theis%20cutting%20DUNK%20(2%20PTS)%20(K.%20Leonard%202%20AST)", "D. Theis cutting DUNK (2 PTS) (K. Leonard 2 AST)")</f>
        <v>D. Theis cutting DUNK (2 PTS) (K. Leonard 2 AST)</v>
      </c>
      <c r="L918" s="2" t="str">
        <f>HYPERLINK("https://www.nba.com/game/...-vs-...-0022300309/play-by-play?watchFullGame=true", "LAC vs SAC - Q1 00:56.30")</f>
        <v>LAC vs SAC - Q1 00:56.30</v>
      </c>
      <c r="M918">
        <v>1.94</v>
      </c>
      <c r="N918">
        <v>92.56</v>
      </c>
      <c r="O918">
        <v>51.72</v>
      </c>
      <c r="P918">
        <v>9</v>
      </c>
      <c r="Q918">
        <v>17</v>
      </c>
      <c r="R918">
        <v>92</v>
      </c>
      <c r="S918">
        <v>51</v>
      </c>
      <c r="T918" t="s">
        <v>58</v>
      </c>
    </row>
    <row r="919" spans="1:20" x14ac:dyDescent="0.25">
      <c r="A919">
        <v>22400733</v>
      </c>
      <c r="B919" t="s">
        <v>10</v>
      </c>
      <c r="C919" t="s">
        <v>9</v>
      </c>
      <c r="D919">
        <v>51</v>
      </c>
      <c r="E919">
        <v>41</v>
      </c>
      <c r="F919">
        <v>10</v>
      </c>
      <c r="G919">
        <v>2</v>
      </c>
      <c r="H919" s="1">
        <v>3.3333333333333335E-3</v>
      </c>
      <c r="I919">
        <v>2024</v>
      </c>
      <c r="J919" t="s">
        <v>59</v>
      </c>
      <c r="K919" s="2" t="str">
        <f>HYPERLINK("https://www.nba.com/stats/events?CFID=&amp;CFPARAMS=&amp;GameEventID=242&amp;GameID=0022400733&amp;Season=2024-25&amp;flag=1&amp;title=N.%20Powell%203PT%20%20(14%20PTS)%20(K.%20Leonard%204%20AST)", "N. Powell 3PT  (14 PTS) (K. Leonard 4 AST)")</f>
        <v>N. Powell 3PT  (14 PTS) (K. Leonard 4 AST)</v>
      </c>
      <c r="L919" s="2" t="str">
        <f>HYPERLINK("https://www.nba.com/game/...-vs-...-0022400733/play-by-play?watchFullGame=true", "LAC vs IND - Q2 04:48.00")</f>
        <v>LAC vs IND - Q2 04:48.00</v>
      </c>
      <c r="M919">
        <v>22.78</v>
      </c>
      <c r="N919">
        <v>92.07</v>
      </c>
      <c r="O919">
        <v>95.34</v>
      </c>
      <c r="P919">
        <v>227</v>
      </c>
      <c r="Q919">
        <v>22</v>
      </c>
      <c r="R919">
        <v>92</v>
      </c>
      <c r="S919">
        <v>95</v>
      </c>
      <c r="T919" t="s">
        <v>58</v>
      </c>
    </row>
    <row r="920" spans="1:20" x14ac:dyDescent="0.25">
      <c r="A920">
        <v>22000989</v>
      </c>
      <c r="B920" t="s">
        <v>4</v>
      </c>
      <c r="C920" t="s">
        <v>64</v>
      </c>
      <c r="D920">
        <v>48</v>
      </c>
      <c r="E920">
        <v>51</v>
      </c>
      <c r="F920">
        <v>3</v>
      </c>
      <c r="G920">
        <v>2</v>
      </c>
      <c r="H920" s="1">
        <v>3.3680555555555558E-4</v>
      </c>
      <c r="I920">
        <v>2020</v>
      </c>
      <c r="J920" t="s">
        <v>59</v>
      </c>
      <c r="K920" s="2" t="str">
        <f>HYPERLINK("https://www.nba.com/stats/events?CFID=&amp;CFPARAMS=&amp;GameEventID=271&amp;GameID=0022000989&amp;Season=2020-21&amp;flag=1&amp;title=M.%20Morris%20Sr.%20driving%20Layup%20(9%20PTS)%20(K.%20Leonard%203%20AST)", "M. Morris Sr. driving Layup (9 PTS) (K. Leonard 3 AST)")</f>
        <v>M. Morris Sr. driving Layup (9 PTS) (K. Leonard 3 AST)</v>
      </c>
      <c r="L920" s="2" t="str">
        <f>HYPERLINK("https://www.nba.com/game/...-vs-...-0022000989/play-by-play?watchFullGame=true", "LAC vs TOR - Q2 00:29.10")</f>
        <v>LAC vs TOR - Q2 00:29.10</v>
      </c>
      <c r="M920">
        <v>1.82</v>
      </c>
      <c r="N920">
        <v>92.85</v>
      </c>
      <c r="O920">
        <v>47.86</v>
      </c>
      <c r="P920">
        <v>-11</v>
      </c>
      <c r="Q920">
        <v>15</v>
      </c>
      <c r="R920">
        <v>92</v>
      </c>
      <c r="S920">
        <v>47</v>
      </c>
      <c r="T920" t="s">
        <v>58</v>
      </c>
    </row>
    <row r="921" spans="1:20" x14ac:dyDescent="0.25">
      <c r="A921">
        <v>22300257</v>
      </c>
      <c r="B921" t="s">
        <v>4</v>
      </c>
      <c r="C921" t="s">
        <v>64</v>
      </c>
      <c r="D921">
        <v>56</v>
      </c>
      <c r="E921">
        <v>57</v>
      </c>
      <c r="F921">
        <v>1</v>
      </c>
      <c r="G921">
        <v>2</v>
      </c>
      <c r="H921" s="1">
        <v>2.5115740740740741E-4</v>
      </c>
      <c r="I921">
        <v>2023</v>
      </c>
      <c r="J921" t="s">
        <v>59</v>
      </c>
      <c r="K921" s="2" t="str">
        <f>HYPERLINK("https://www.nba.com/stats/events?CFID=&amp;CFPARAMS=&amp;GameEventID=332&amp;GameID=0022300257&amp;Season=2023-24&amp;flag=1&amp;title=T.%20Mann%20running%20Layup%20(5%20PTS)%20(K.%20Leonard%202%20AST)", "T. Mann running Layup (5 PTS) (K. Leonard 2 AST)")</f>
        <v>T. Mann running Layup (5 PTS) (K. Leonard 2 AST)</v>
      </c>
      <c r="L921" s="2" t="str">
        <f>HYPERLINK("https://www.nba.com/game/...-vs-...-0022300257/play-by-play?watchFullGame=true", "LAC vs DEN - Q2 00:21.70")</f>
        <v>LAC vs DEN - Q2 00:21.70</v>
      </c>
      <c r="M921">
        <v>2.2400000000000002</v>
      </c>
      <c r="N921">
        <v>92.43</v>
      </c>
      <c r="O921">
        <v>47.55</v>
      </c>
      <c r="P921">
        <v>-12</v>
      </c>
      <c r="Q921">
        <v>19</v>
      </c>
      <c r="R921">
        <v>92</v>
      </c>
      <c r="S921">
        <v>47</v>
      </c>
      <c r="T921" t="s">
        <v>58</v>
      </c>
    </row>
    <row r="922" spans="1:20" x14ac:dyDescent="0.25">
      <c r="A922">
        <v>21900377</v>
      </c>
      <c r="B922" t="s">
        <v>4</v>
      </c>
      <c r="C922" t="s">
        <v>69</v>
      </c>
      <c r="D922">
        <v>2</v>
      </c>
      <c r="E922">
        <v>3</v>
      </c>
      <c r="F922">
        <v>1</v>
      </c>
      <c r="G922">
        <v>1</v>
      </c>
      <c r="H922" s="1">
        <v>8.0092592592592594E-3</v>
      </c>
      <c r="I922">
        <v>2019</v>
      </c>
      <c r="J922" t="s">
        <v>59</v>
      </c>
      <c r="K922" s="2" t="str">
        <f>HYPERLINK("https://www.nba.com/stats/events?CFID=&amp;CFPARAMS=&amp;GameEventID=12&amp;GameID=0021900377&amp;Season=2019-20&amp;flag=1&amp;title=P.%20George%20layup%20(2%20PTS)%20(K.%20Leonard%201%20AST)", "P. George layup (2 PTS) (K. Leonard 1 AST)")</f>
        <v>P. George layup (2 PTS) (K. Leonard 1 AST)</v>
      </c>
      <c r="L922" s="2" t="str">
        <f>HYPERLINK("https://www.nba.com/game/...-vs-...-0021900377/play-by-play?watchFullGame=true", "LAC vs MIN - Q1 11:32.00")</f>
        <v>LAC vs MIN - Q1 11:32.00</v>
      </c>
      <c r="M922">
        <v>2.65</v>
      </c>
      <c r="N922">
        <v>92.46</v>
      </c>
      <c r="O922">
        <v>52.27</v>
      </c>
      <c r="P922">
        <v>11</v>
      </c>
      <c r="Q922">
        <v>18</v>
      </c>
      <c r="R922">
        <v>92</v>
      </c>
      <c r="S922">
        <v>52</v>
      </c>
      <c r="T922" t="s">
        <v>58</v>
      </c>
    </row>
    <row r="923" spans="1:20" x14ac:dyDescent="0.25">
      <c r="A923">
        <v>22400927</v>
      </c>
      <c r="B923" t="s">
        <v>4</v>
      </c>
      <c r="C923" t="s">
        <v>64</v>
      </c>
      <c r="D923">
        <v>35</v>
      </c>
      <c r="E923">
        <v>39</v>
      </c>
      <c r="F923">
        <v>4</v>
      </c>
      <c r="G923">
        <v>2</v>
      </c>
      <c r="H923" s="1">
        <v>3.9699074074074072E-3</v>
      </c>
      <c r="I923">
        <v>2024</v>
      </c>
      <c r="J923" t="s">
        <v>59</v>
      </c>
      <c r="K923" s="2" t="str">
        <f>HYPERLINK("https://www.nba.com/stats/events?CFID=&amp;CFPARAMS=&amp;GameEventID=220&amp;GameID=0022400927&amp;Season=2024-25&amp;flag=1&amp;title=K.%20Dunn%20running%20Layup%20(2%20PTS)%20(K.%20Leonard%202%20AST)", "K. Dunn running Layup (2 PTS) (K. Leonard 2 AST)")</f>
        <v>K. Dunn running Layup (2 PTS) (K. Leonard 2 AST)</v>
      </c>
      <c r="L923" s="2" t="str">
        <f>HYPERLINK("https://www.nba.com/game/...-vs-...-0022400927/play-by-play?watchFullGame=true", "LAC vs SAC - Q2 05:43.00")</f>
        <v>LAC vs SAC - Q2 05:43.00</v>
      </c>
      <c r="M923">
        <v>2.2999999999999998</v>
      </c>
      <c r="N923">
        <v>92.2</v>
      </c>
      <c r="O923">
        <v>48.04</v>
      </c>
      <c r="P923">
        <v>-10</v>
      </c>
      <c r="Q923">
        <v>21</v>
      </c>
      <c r="R923">
        <v>92</v>
      </c>
      <c r="S923">
        <v>48</v>
      </c>
      <c r="T923" t="s">
        <v>58</v>
      </c>
    </row>
    <row r="924" spans="1:20" x14ac:dyDescent="0.25">
      <c r="A924">
        <v>22200871</v>
      </c>
      <c r="B924" t="s">
        <v>4</v>
      </c>
      <c r="C924" t="s">
        <v>64</v>
      </c>
      <c r="D924">
        <v>11</v>
      </c>
      <c r="E924">
        <v>5</v>
      </c>
      <c r="F924">
        <v>6</v>
      </c>
      <c r="G924">
        <v>1</v>
      </c>
      <c r="H924" s="1">
        <v>5.0347222222222225E-3</v>
      </c>
      <c r="I924">
        <v>2022</v>
      </c>
      <c r="J924" t="s">
        <v>59</v>
      </c>
      <c r="K924" s="2" t="str">
        <f>HYPERLINK("https://www.nba.com/stats/events?CFID=&amp;CFPARAMS=&amp;GameEventID=41&amp;GameID=0022200871&amp;Season=2022-23&amp;flag=1&amp;title=T.%20Mann%20driving%20finger%20roll%20Layup%20(2%20PTS)%20(K.%20Leonard%201%20AST)", "T. Mann driving finger roll Layup (2 PTS) (K. Leonard 1 AST)")</f>
        <v>T. Mann driving finger roll Layup (2 PTS) (K. Leonard 1 AST)</v>
      </c>
      <c r="L924" s="2" t="str">
        <f>HYPERLINK("https://www.nba.com/game/...-vs-...-0022200871/play-by-play?watchFullGame=true", "LAC vs GSW - Q1 07:15.00")</f>
        <v>LAC vs GSW - Q1 07:15.00</v>
      </c>
      <c r="M924">
        <v>1.74</v>
      </c>
      <c r="N924">
        <v>92.56</v>
      </c>
      <c r="O924">
        <v>50</v>
      </c>
      <c r="P924">
        <v>92</v>
      </c>
      <c r="Q924">
        <v>17</v>
      </c>
      <c r="R924">
        <v>92</v>
      </c>
      <c r="S924">
        <v>50</v>
      </c>
      <c r="T924" t="s">
        <v>58</v>
      </c>
    </row>
    <row r="925" spans="1:20" x14ac:dyDescent="0.25">
      <c r="A925">
        <v>22201004</v>
      </c>
      <c r="B925" t="s">
        <v>4</v>
      </c>
      <c r="C925" t="s">
        <v>64</v>
      </c>
      <c r="D925">
        <v>41</v>
      </c>
      <c r="E925">
        <v>40</v>
      </c>
      <c r="F925">
        <v>1</v>
      </c>
      <c r="G925">
        <v>2</v>
      </c>
      <c r="H925" s="1">
        <v>2.3495370370370371E-3</v>
      </c>
      <c r="I925">
        <v>2022</v>
      </c>
      <c r="J925" t="s">
        <v>59</v>
      </c>
      <c r="K925" s="2" t="str">
        <f>HYPERLINK("https://www.nba.com/stats/events?CFID=&amp;CFPARAMS=&amp;GameEventID=267&amp;GameID=0022201004&amp;Season=2022-23&amp;flag=1&amp;title=R.%20Westbrook%20driving%20finger%20roll%20Layup%20(5%20PTS)%20(K.%20Leonard%201%20AST)", "R. Westbrook driving finger roll Layup (5 PTS) (K. Leonard 1 AST)")</f>
        <v>R. Westbrook driving finger roll Layup (5 PTS) (K. Leonard 1 AST)</v>
      </c>
      <c r="L925" s="2" t="str">
        <f>HYPERLINK("https://www.nba.com/game/...-vs-...-0022201004/play-by-play?watchFullGame=true", "LAC vs NYK - Q2 03:23.00")</f>
        <v>LAC vs NYK - Q2 03:23.00</v>
      </c>
      <c r="M925">
        <v>2.62</v>
      </c>
      <c r="N925">
        <v>92.03</v>
      </c>
      <c r="O925">
        <v>52.7</v>
      </c>
      <c r="P925">
        <v>13</v>
      </c>
      <c r="Q925">
        <v>22</v>
      </c>
      <c r="R925">
        <v>92</v>
      </c>
      <c r="S925">
        <v>52</v>
      </c>
      <c r="T925" t="s">
        <v>58</v>
      </c>
    </row>
    <row r="926" spans="1:20" x14ac:dyDescent="0.25">
      <c r="A926">
        <v>22200735</v>
      </c>
      <c r="B926" t="s">
        <v>4</v>
      </c>
      <c r="C926" t="s">
        <v>64</v>
      </c>
      <c r="D926">
        <v>14</v>
      </c>
      <c r="E926">
        <v>7</v>
      </c>
      <c r="F926">
        <v>7</v>
      </c>
      <c r="G926">
        <v>1</v>
      </c>
      <c r="H926" s="1">
        <v>5.8912037037037041E-3</v>
      </c>
      <c r="I926">
        <v>2022</v>
      </c>
      <c r="J926" t="s">
        <v>59</v>
      </c>
      <c r="K926" s="2" t="str">
        <f>HYPERLINK("https://www.nba.com/stats/events?CFID=&amp;CFPARAMS=&amp;GameEventID=40&amp;GameID=0022200735&amp;Season=2022-23&amp;flag=1&amp;title=I.%20Zubac%20Layup%20(5%20PTS)%20(K.%20Leonard%203%20AST)", "I. Zubac Layup (5 PTS) (K. Leonard 3 AST)")</f>
        <v>I. Zubac Layup (5 PTS) (K. Leonard 3 AST)</v>
      </c>
      <c r="L926" s="2" t="str">
        <f>HYPERLINK("https://www.nba.com/game/...-vs-...-0022200735/play-by-play?watchFullGame=true", "LAC vs SAS - Q1 08:29.00")</f>
        <v>LAC vs SAS - Q1 08:29.00</v>
      </c>
      <c r="M926">
        <v>2.88</v>
      </c>
      <c r="N926">
        <v>92.16</v>
      </c>
      <c r="O926">
        <v>46.08</v>
      </c>
      <c r="P926">
        <v>-20</v>
      </c>
      <c r="Q926">
        <v>21</v>
      </c>
      <c r="R926">
        <v>92</v>
      </c>
      <c r="S926">
        <v>46</v>
      </c>
      <c r="T926" t="s">
        <v>58</v>
      </c>
    </row>
    <row r="927" spans="1:20" x14ac:dyDescent="0.25">
      <c r="A927">
        <v>42000175</v>
      </c>
      <c r="B927" t="s">
        <v>4</v>
      </c>
      <c r="C927" t="s">
        <v>65</v>
      </c>
      <c r="D927">
        <v>19</v>
      </c>
      <c r="E927">
        <v>21</v>
      </c>
      <c r="F927">
        <v>2</v>
      </c>
      <c r="G927">
        <v>1</v>
      </c>
      <c r="H927" s="1">
        <v>2.9398148148148148E-3</v>
      </c>
      <c r="I927" t="s">
        <v>66</v>
      </c>
      <c r="J927" t="s">
        <v>59</v>
      </c>
      <c r="K927" s="2" t="str">
        <f>HYPERLINK("https://www.nba.com/stats/events?CFID=&amp;CFPARAMS=&amp;GameEventID=78&amp;GameID=0042000175&amp;Season=2020-21&amp;flag=1&amp;title=N.%20Batum%20cutting%20DUNK%20(2%20PTS)%20(K.%20Leonard%203%20AST)", "N. Batum cutting DUNK (2 PTS) (K. Leonard 3 AST)")</f>
        <v>N. Batum cutting DUNK (2 PTS) (K. Leonard 3 AST)</v>
      </c>
      <c r="L927" s="2" t="str">
        <f>HYPERLINK("https://www.nba.com/game/...-vs-...-0042000175/play-by-play?watchFullGame=true", "LAC vs DAL - Q1 04:14.00")</f>
        <v>LAC vs DAL - Q1 04:14.00</v>
      </c>
      <c r="M927">
        <v>2.15</v>
      </c>
      <c r="N927">
        <v>92.72</v>
      </c>
      <c r="O927">
        <v>47.13</v>
      </c>
      <c r="P927">
        <v>92</v>
      </c>
      <c r="Q927">
        <v>47</v>
      </c>
      <c r="R927">
        <v>92</v>
      </c>
      <c r="S927">
        <v>47</v>
      </c>
      <c r="T927" t="s">
        <v>58</v>
      </c>
    </row>
    <row r="928" spans="1:20" x14ac:dyDescent="0.25">
      <c r="A928">
        <v>42000222</v>
      </c>
      <c r="B928" t="s">
        <v>10</v>
      </c>
      <c r="C928" t="s">
        <v>9</v>
      </c>
      <c r="D928">
        <v>91</v>
      </c>
      <c r="E928">
        <v>93</v>
      </c>
      <c r="F928">
        <v>2</v>
      </c>
      <c r="G928">
        <v>4</v>
      </c>
      <c r="H928" s="1">
        <v>8.0902777777777778E-3</v>
      </c>
      <c r="I928" t="s">
        <v>71</v>
      </c>
      <c r="J928" t="s">
        <v>59</v>
      </c>
      <c r="K928" s="2" t="str">
        <f>HYPERLINK("https://www.nba.com/stats/events?CFID=&amp;CFPARAMS=&amp;GameEventID=471&amp;GameID=0042000222&amp;Season=2020-21&amp;flag=1&amp;title=N.%20Batum%203PT%20%20(7%20PTS)%20(K.%20Leonard%204%20AST)", "N. Batum 3PT  (7 PTS) (K. Leonard 4 AST)")</f>
        <v>N. Batum 3PT  (7 PTS) (K. Leonard 4 AST)</v>
      </c>
      <c r="L928" s="2" t="str">
        <f>HYPERLINK("https://www.nba.com/game/...-vs-...-0042000222/play-by-play?watchFullGame=true", "LAC vs UTA - Q4 11:39.00")</f>
        <v>LAC vs UTA - Q4 11:39.00</v>
      </c>
      <c r="M928">
        <v>23.41</v>
      </c>
      <c r="N928">
        <v>92.2</v>
      </c>
      <c r="O928">
        <v>96.64</v>
      </c>
      <c r="P928">
        <v>92</v>
      </c>
      <c r="Q928">
        <v>96</v>
      </c>
      <c r="R928">
        <v>92</v>
      </c>
      <c r="S928">
        <v>96</v>
      </c>
      <c r="T928" t="s">
        <v>58</v>
      </c>
    </row>
    <row r="929" spans="1:20" x14ac:dyDescent="0.25">
      <c r="A929">
        <v>21900516</v>
      </c>
      <c r="B929" t="s">
        <v>4</v>
      </c>
      <c r="C929" t="s">
        <v>69</v>
      </c>
      <c r="D929">
        <v>66</v>
      </c>
      <c r="E929">
        <v>58</v>
      </c>
      <c r="F929">
        <v>8</v>
      </c>
      <c r="G929">
        <v>2</v>
      </c>
      <c r="H929" s="1">
        <v>6.9444444444444447E-4</v>
      </c>
      <c r="I929">
        <v>2019</v>
      </c>
      <c r="J929" t="s">
        <v>59</v>
      </c>
      <c r="K929" s="2" t="str">
        <f>HYPERLINK("https://www.nba.com/stats/events?CFID=&amp;CFPARAMS=&amp;GameEventID=339&amp;GameID=0021900516&amp;Season=2019-20&amp;flag=1&amp;title=M.%20Harkless%20layup%20(6%20PTS)%20(K.%20Leonard%204%20AST)", "M. Harkless layup (6 PTS) (K. Leonard 4 AST)")</f>
        <v>M. Harkless layup (6 PTS) (K. Leonard 4 AST)</v>
      </c>
      <c r="L929" s="2" t="str">
        <f>HYPERLINK("https://www.nba.com/game/...-vs-...-0021900516/play-by-play?watchFullGame=true", "LAC vs DET - Q2 01:00.00")</f>
        <v>LAC vs DET - Q2 01:00.00</v>
      </c>
      <c r="M929">
        <v>2.8</v>
      </c>
      <c r="N929">
        <v>92.3</v>
      </c>
      <c r="O929">
        <v>52.38</v>
      </c>
      <c r="P929">
        <v>12</v>
      </c>
      <c r="Q929">
        <v>20</v>
      </c>
      <c r="R929">
        <v>92</v>
      </c>
      <c r="S929">
        <v>52</v>
      </c>
      <c r="T929" t="s">
        <v>58</v>
      </c>
    </row>
    <row r="930" spans="1:20" x14ac:dyDescent="0.25">
      <c r="A930">
        <v>42000223</v>
      </c>
      <c r="B930" t="s">
        <v>10</v>
      </c>
      <c r="C930" t="s">
        <v>9</v>
      </c>
      <c r="D930">
        <v>69</v>
      </c>
      <c r="E930">
        <v>52</v>
      </c>
      <c r="F930">
        <v>17</v>
      </c>
      <c r="G930">
        <v>3</v>
      </c>
      <c r="H930" s="1">
        <v>7.083333333333333E-3</v>
      </c>
      <c r="I930" t="s">
        <v>71</v>
      </c>
      <c r="J930" t="s">
        <v>59</v>
      </c>
      <c r="K930" s="2" t="str">
        <f>HYPERLINK("https://www.nba.com/stats/events?CFID=&amp;CFPARAMS=&amp;GameEventID=308&amp;GameID=0042000223&amp;Season=2020-21&amp;flag=1&amp;title=N.%20Batum%2024'%203PT%20%20(14%20PTS)%20(K.%20Leonard%203%20AST)", "N. Batum 24' 3PT  (14 PTS) (K. Leonard 3 AST)")</f>
        <v>N. Batum 24' 3PT  (14 PTS) (K. Leonard 3 AST)</v>
      </c>
      <c r="L930" s="2" t="str">
        <f>HYPERLINK("https://www.nba.com/game/...-vs-...-0042000223/play-by-play?watchFullGame=true", "LAC vs UTA - Q3 10:12.00")</f>
        <v>LAC vs UTA - Q3 10:12.00</v>
      </c>
      <c r="M930">
        <v>24.36</v>
      </c>
      <c r="N930">
        <v>92.56</v>
      </c>
      <c r="O930">
        <v>1.4</v>
      </c>
      <c r="P930">
        <v>92</v>
      </c>
      <c r="Q930">
        <v>1</v>
      </c>
      <c r="R930">
        <v>92</v>
      </c>
      <c r="S930">
        <v>1</v>
      </c>
      <c r="T930" t="s">
        <v>58</v>
      </c>
    </row>
    <row r="931" spans="1:20" x14ac:dyDescent="0.25">
      <c r="A931">
        <v>22000509</v>
      </c>
      <c r="B931" t="s">
        <v>4</v>
      </c>
      <c r="C931" t="s">
        <v>64</v>
      </c>
      <c r="D931">
        <v>48</v>
      </c>
      <c r="E931">
        <v>42</v>
      </c>
      <c r="F931">
        <v>6</v>
      </c>
      <c r="G931">
        <v>2</v>
      </c>
      <c r="H931" s="1">
        <v>2.9513888888888888E-3</v>
      </c>
      <c r="I931">
        <v>2020</v>
      </c>
      <c r="J931" t="s">
        <v>59</v>
      </c>
      <c r="K931" s="2" t="str">
        <f>HYPERLINK("https://www.nba.com/stats/events?CFID=&amp;CFPARAMS=&amp;GameEventID=267&amp;GameID=0022000509&amp;Season=2020-21&amp;flag=1&amp;title=Ibaka%20driving%20Layup%20(6%20PTS)%20(K.%20Leonard%204%20AST)", "S. Ibaka driving Layup (6 PTS) (K. Leonard 4 AST)")</f>
        <v>S. Ibaka driving Layup (6 PTS) (K. Leonard 4 AST)</v>
      </c>
      <c r="L931" s="2" t="str">
        <f>HYPERLINK("https://www.nba.com/game/...-vs-...-0022000509/play-by-play?watchFullGame=true", "LAC vs MEM - Q2 04:15.00")</f>
        <v>LAC vs MEM - Q2 04:15.00</v>
      </c>
      <c r="M931">
        <v>2.14</v>
      </c>
      <c r="N931">
        <v>92.2</v>
      </c>
      <c r="O931">
        <v>51.05</v>
      </c>
      <c r="P931">
        <v>5</v>
      </c>
      <c r="Q931">
        <v>21</v>
      </c>
      <c r="R931">
        <v>92</v>
      </c>
      <c r="S931">
        <v>51</v>
      </c>
      <c r="T931" t="s">
        <v>58</v>
      </c>
    </row>
    <row r="932" spans="1:20" x14ac:dyDescent="0.25">
      <c r="A932">
        <v>22000660</v>
      </c>
      <c r="B932" t="s">
        <v>4</v>
      </c>
      <c r="C932" t="s">
        <v>65</v>
      </c>
      <c r="D932">
        <v>101</v>
      </c>
      <c r="E932">
        <v>103</v>
      </c>
      <c r="F932">
        <v>2</v>
      </c>
      <c r="G932">
        <v>4</v>
      </c>
      <c r="H932" s="1">
        <v>3.6574074074074074E-3</v>
      </c>
      <c r="I932">
        <v>2020</v>
      </c>
      <c r="J932" t="s">
        <v>59</v>
      </c>
      <c r="K932" s="2" t="str">
        <f>HYPERLINK("https://www.nba.com/stats/events?CFID=&amp;CFPARAMS=&amp;GameEventID=549&amp;GameID=0022000660&amp;Season=2020-21&amp;flag=1&amp;title=T.%20Mann%20cutting%20DUNK%20(16%20PTS)%20(K.%20Leonard%205%20AST)", "T. Mann cutting DUNK (16 PTS) (K. Leonard 5 AST)")</f>
        <v>T. Mann cutting DUNK (16 PTS) (K. Leonard 5 AST)</v>
      </c>
      <c r="L932" s="2" t="str">
        <f>HYPERLINK("https://www.nba.com/game/...-vs-...-0022000660/play-by-play?watchFullGame=true", "LAC vs ATL - Q4 05:16.00")</f>
        <v>LAC vs ATL - Q4 05:16.00</v>
      </c>
      <c r="M932">
        <v>1.47</v>
      </c>
      <c r="N932">
        <v>92.95</v>
      </c>
      <c r="O932">
        <v>48.95</v>
      </c>
      <c r="P932">
        <v>-5</v>
      </c>
      <c r="Q932">
        <v>14</v>
      </c>
      <c r="R932">
        <v>92</v>
      </c>
      <c r="S932">
        <v>48</v>
      </c>
      <c r="T932" t="s">
        <v>58</v>
      </c>
    </row>
    <row r="933" spans="1:20" x14ac:dyDescent="0.25">
      <c r="A933">
        <v>22000605</v>
      </c>
      <c r="B933" t="s">
        <v>4</v>
      </c>
      <c r="C933" t="s">
        <v>65</v>
      </c>
      <c r="D933">
        <v>16</v>
      </c>
      <c r="E933">
        <v>10</v>
      </c>
      <c r="F933">
        <v>6</v>
      </c>
      <c r="G933">
        <v>1</v>
      </c>
      <c r="H933" s="1">
        <v>4.2476851851851851E-3</v>
      </c>
      <c r="I933">
        <v>2020</v>
      </c>
      <c r="J933" t="s">
        <v>59</v>
      </c>
      <c r="K933" s="2" t="str">
        <f>HYPERLINK("https://www.nba.com/stats/events?CFID=&amp;CFPARAMS=&amp;GameEventID=66&amp;GameID=0022000605&amp;Season=2020-21&amp;flag=1&amp;title=I.%20Zubac%20cutting%20DUNK%20(4%20PTS)%20(K.%20Leonard%201%20AST)", "I. Zubac cutting DUNK (4 PTS) (K. Leonard 1 AST)")</f>
        <v>I. Zubac cutting DUNK (4 PTS) (K. Leonard 1 AST)</v>
      </c>
      <c r="L933" s="2" t="str">
        <f>HYPERLINK("https://www.nba.com/game/...-vs-...-0022000605/play-by-play?watchFullGame=true", "LAC vs DAL - Q1 06:07.00")</f>
        <v>LAC vs DAL - Q1 06:07.00</v>
      </c>
      <c r="M933">
        <v>1.35</v>
      </c>
      <c r="N933">
        <v>92.99</v>
      </c>
      <c r="O933">
        <v>50.31</v>
      </c>
      <c r="P933">
        <v>2</v>
      </c>
      <c r="Q933">
        <v>13</v>
      </c>
      <c r="R933">
        <v>92</v>
      </c>
      <c r="S933">
        <v>50</v>
      </c>
      <c r="T933" t="s">
        <v>58</v>
      </c>
    </row>
    <row r="934" spans="1:20" x14ac:dyDescent="0.25">
      <c r="A934">
        <v>22000720</v>
      </c>
      <c r="B934" t="s">
        <v>10</v>
      </c>
      <c r="C934" t="s">
        <v>9</v>
      </c>
      <c r="D934">
        <v>96</v>
      </c>
      <c r="E934">
        <v>97</v>
      </c>
      <c r="F934">
        <v>1</v>
      </c>
      <c r="G934">
        <v>4</v>
      </c>
      <c r="H934" s="1">
        <v>2.9513888888888889E-4</v>
      </c>
      <c r="I934">
        <v>2020</v>
      </c>
      <c r="J934" t="s">
        <v>59</v>
      </c>
      <c r="K934" s="2" t="str">
        <f>HYPERLINK("https://www.nba.com/stats/events?CFID=&amp;CFPARAMS=&amp;GameEventID=621&amp;GameID=0022000720&amp;Season=2020-21&amp;flag=1&amp;title=T.%20Mann%203PT%20%20(9%20PTS)%20(K.%20Leonard%205%20AST)", "T. Mann 3PT  (9 PTS) (K. Leonard 5 AST)")</f>
        <v>T. Mann 3PT  (9 PTS) (K. Leonard 5 AST)</v>
      </c>
      <c r="L934" s="2" t="str">
        <f>HYPERLINK("https://www.nba.com/game/...-vs-...-0022000720/play-by-play?watchFullGame=true", "LAC vs ORL - Q4 00:25.50")</f>
        <v>LAC vs ORL - Q4 00:25.50</v>
      </c>
      <c r="M934">
        <v>23.42</v>
      </c>
      <c r="N934">
        <v>92.07</v>
      </c>
      <c r="O934">
        <v>96.64</v>
      </c>
      <c r="P934">
        <v>233</v>
      </c>
      <c r="Q934">
        <v>22</v>
      </c>
      <c r="R934">
        <v>92</v>
      </c>
      <c r="S934">
        <v>96</v>
      </c>
      <c r="T934" t="s">
        <v>58</v>
      </c>
    </row>
    <row r="935" spans="1:20" x14ac:dyDescent="0.25">
      <c r="A935">
        <v>21900051</v>
      </c>
      <c r="B935" t="s">
        <v>4</v>
      </c>
      <c r="C935" t="s">
        <v>69</v>
      </c>
      <c r="D935">
        <v>33</v>
      </c>
      <c r="E935">
        <v>36</v>
      </c>
      <c r="F935">
        <v>3</v>
      </c>
      <c r="G935">
        <v>2</v>
      </c>
      <c r="H935" s="1">
        <v>7.1412037037037034E-3</v>
      </c>
      <c r="I935">
        <v>2019</v>
      </c>
      <c r="J935" t="s">
        <v>59</v>
      </c>
      <c r="K935" s="2" t="str">
        <f>HYPERLINK("https://www.nba.com/stats/events?CFID=&amp;CFPARAMS=&amp;GameEventID=173&amp;GameID=0021900051&amp;Season=2019-20&amp;flag=1&amp;title=[LAC]%20Harrell%20layup:%20Made%20(4%20PTS)%20assist:%20Leonard%20(3%20AST)", "[LAC] Harrell layup: Made (4 PTS) assist: Leonard (3 AST)")</f>
        <v>[LAC] Harrell layup: Made (4 PTS) assist: Leonard (3 AST)</v>
      </c>
      <c r="L935" s="2" t="str">
        <f>HYPERLINK("https://www.nba.com/game/...-vs-...-0021900051/play-by-play?watchFullGame=true", "LAC vs CHA - Q2 10:17.00")</f>
        <v>LAC vs CHA - Q2 10:17.00</v>
      </c>
      <c r="M935">
        <v>2.08</v>
      </c>
      <c r="N935">
        <v>92.82</v>
      </c>
      <c r="O935">
        <v>50.67</v>
      </c>
      <c r="P935">
        <v>3</v>
      </c>
      <c r="Q935">
        <v>15</v>
      </c>
      <c r="R935">
        <v>92</v>
      </c>
      <c r="S935">
        <v>50</v>
      </c>
      <c r="T935" t="s">
        <v>58</v>
      </c>
    </row>
    <row r="936" spans="1:20" x14ac:dyDescent="0.25">
      <c r="A936">
        <v>22000799</v>
      </c>
      <c r="B936" t="s">
        <v>4</v>
      </c>
      <c r="C936" t="s">
        <v>64</v>
      </c>
      <c r="D936">
        <v>19</v>
      </c>
      <c r="E936">
        <v>16</v>
      </c>
      <c r="F936">
        <v>3</v>
      </c>
      <c r="G936">
        <v>1</v>
      </c>
      <c r="H936" s="1">
        <v>3.8425925925925928E-3</v>
      </c>
      <c r="I936">
        <v>2020</v>
      </c>
      <c r="J936" t="s">
        <v>59</v>
      </c>
      <c r="K936" s="2" t="str">
        <f>HYPERLINK("https://www.nba.com/stats/events?CFID=&amp;CFPARAMS=&amp;GameEventID=77&amp;GameID=0022000799&amp;Season=2020-21&amp;flag=1&amp;title=T.%20Mann%20driving%20Layup%20(2%20PTS)%20(K.%20Leonard%203%20AST)", "T. Mann driving Layup (2 PTS) (K. Leonard 3 AST)")</f>
        <v>T. Mann driving Layup (2 PTS) (K. Leonard 3 AST)</v>
      </c>
      <c r="L936" s="2" t="str">
        <f>HYPERLINK("https://www.nba.com/game/...-vs-...-0022000799/play-by-play?watchFullGame=true", "LAC vs HOU - Q1 05:32.00")</f>
        <v>LAC vs HOU - Q1 05:32.00</v>
      </c>
      <c r="M936">
        <v>1.98</v>
      </c>
      <c r="N936">
        <v>92.33</v>
      </c>
      <c r="O936">
        <v>50.56</v>
      </c>
      <c r="P936">
        <v>3</v>
      </c>
      <c r="Q936">
        <v>20</v>
      </c>
      <c r="R936">
        <v>92</v>
      </c>
      <c r="S936">
        <v>50</v>
      </c>
      <c r="T936" t="s">
        <v>58</v>
      </c>
    </row>
    <row r="937" spans="1:20" x14ac:dyDescent="0.25">
      <c r="A937">
        <v>22200701</v>
      </c>
      <c r="B937" t="s">
        <v>10</v>
      </c>
      <c r="C937" t="s">
        <v>9</v>
      </c>
      <c r="D937">
        <v>17</v>
      </c>
      <c r="E937">
        <v>16</v>
      </c>
      <c r="F937">
        <v>1</v>
      </c>
      <c r="G937">
        <v>1</v>
      </c>
      <c r="H937" s="1">
        <v>2.3495370370370371E-3</v>
      </c>
      <c r="I937">
        <v>2022</v>
      </c>
      <c r="J937" t="s">
        <v>59</v>
      </c>
      <c r="K937" s="2" t="str">
        <f>HYPERLINK("https://www.nba.com/stats/events?CFID=&amp;CFPARAMS=&amp;GameEventID=98&amp;GameID=0022200701&amp;Season=2022-23&amp;flag=1&amp;title=N.%20Powell%203PT%20%20(6%20PTS)%20(K.%20Leonard%201%20AST)", "N. Powell 3PT  (6 PTS) (K. Leonard 1 AST)")</f>
        <v>N. Powell 3PT  (6 PTS) (K. Leonard 1 AST)</v>
      </c>
      <c r="L937" s="2" t="str">
        <f>HYPERLINK("https://www.nba.com/game/...-vs-...-0022200701/play-by-play?watchFullGame=true", "LAC vs DAL - Q1 03:23.00")</f>
        <v>LAC vs DAL - Q1 03:23.00</v>
      </c>
      <c r="M937">
        <v>23.11</v>
      </c>
      <c r="N937">
        <v>92.46</v>
      </c>
      <c r="O937">
        <v>3.92</v>
      </c>
      <c r="P937">
        <v>-230</v>
      </c>
      <c r="Q937">
        <v>18</v>
      </c>
      <c r="R937">
        <v>92</v>
      </c>
      <c r="S937">
        <v>3</v>
      </c>
      <c r="T937" t="s">
        <v>58</v>
      </c>
    </row>
    <row r="938" spans="1:20" x14ac:dyDescent="0.25">
      <c r="A938">
        <v>22201215</v>
      </c>
      <c r="B938" t="s">
        <v>4</v>
      </c>
      <c r="C938" t="s">
        <v>65</v>
      </c>
      <c r="D938">
        <v>4</v>
      </c>
      <c r="E938">
        <v>0</v>
      </c>
      <c r="F938">
        <v>4</v>
      </c>
      <c r="G938">
        <v>1</v>
      </c>
      <c r="H938" s="1">
        <v>7.6736111111111111E-3</v>
      </c>
      <c r="I938">
        <v>2022</v>
      </c>
      <c r="J938" t="s">
        <v>59</v>
      </c>
      <c r="K938" s="2" t="str">
        <f>HYPERLINK("https://www.nba.com/stats/events?CFID=&amp;CFPARAMS=&amp;GameEventID=11&amp;GameID=0022201215&amp;Season=2022-23&amp;flag=1&amp;title=I.%20Zubac%20alley-oop%20DUNK%20(4%20PTS)%20(K.%20Leonard%201%20AST)", "I. Zubac alley-oop DUNK (4 PTS) (K. Leonard 1 AST)")</f>
        <v>I. Zubac alley-oop DUNK (4 PTS) (K. Leonard 1 AST)</v>
      </c>
      <c r="L938" s="2" t="str">
        <f>HYPERLINK("https://www.nba.com/game/...-vs-...-0022201215/play-by-play?watchFullGame=true", "LAC vs POR - Q1 11:03.00")</f>
        <v>LAC vs POR - Q1 11:03.00</v>
      </c>
      <c r="M938">
        <v>1.66</v>
      </c>
      <c r="N938">
        <v>92.69</v>
      </c>
      <c r="O938">
        <v>50.74</v>
      </c>
      <c r="P938">
        <v>4</v>
      </c>
      <c r="Q938">
        <v>16</v>
      </c>
      <c r="R938">
        <v>92</v>
      </c>
      <c r="S938">
        <v>50</v>
      </c>
      <c r="T938" t="s">
        <v>58</v>
      </c>
    </row>
    <row r="939" spans="1:20" x14ac:dyDescent="0.25">
      <c r="A939">
        <v>22300568</v>
      </c>
      <c r="B939" t="s">
        <v>10</v>
      </c>
      <c r="C939" t="s">
        <v>9</v>
      </c>
      <c r="D939">
        <v>51</v>
      </c>
      <c r="E939">
        <v>47</v>
      </c>
      <c r="F939">
        <v>4</v>
      </c>
      <c r="G939">
        <v>2</v>
      </c>
      <c r="H939" s="1">
        <v>3.6921296296296298E-3</v>
      </c>
      <c r="I939">
        <v>2023</v>
      </c>
      <c r="J939" t="s">
        <v>59</v>
      </c>
      <c r="K939" s="2" t="str">
        <f>HYPERLINK("https://www.nba.com/stats/events?CFID=&amp;CFPARAMS=&amp;GameEventID=240&amp;GameID=0022300568&amp;Season=2023-24&amp;flag=1&amp;title=P.%20George%203PT%20%20(5%20PTS)%20(K.%20Leonard%205%20AST)", "P. George 3PT  (5 PTS) (K. Leonard 5 AST)")</f>
        <v>P. George 3PT  (5 PTS) (K. Leonard 5 AST)</v>
      </c>
      <c r="L939" s="2" t="str">
        <f>HYPERLINK("https://www.nba.com/game/...-vs-...-0022300568/play-by-play?watchFullGame=true", "LAC vs OKC - Q2 05:19.00")</f>
        <v>LAC vs OKC - Q2 05:19.00</v>
      </c>
      <c r="M939">
        <v>23.34</v>
      </c>
      <c r="N939">
        <v>92.56</v>
      </c>
      <c r="O939">
        <v>3.43</v>
      </c>
      <c r="P939">
        <v>-233</v>
      </c>
      <c r="Q939">
        <v>17</v>
      </c>
      <c r="R939">
        <v>92</v>
      </c>
      <c r="S939">
        <v>3</v>
      </c>
      <c r="T939" t="s">
        <v>58</v>
      </c>
    </row>
    <row r="940" spans="1:20" x14ac:dyDescent="0.25">
      <c r="A940">
        <v>22300114</v>
      </c>
      <c r="B940" t="s">
        <v>4</v>
      </c>
      <c r="C940" t="s">
        <v>9</v>
      </c>
      <c r="D940">
        <v>24</v>
      </c>
      <c r="E940">
        <v>30</v>
      </c>
      <c r="F940">
        <v>6</v>
      </c>
      <c r="G940">
        <v>2</v>
      </c>
      <c r="H940" s="1">
        <v>5.1736111111111115E-3</v>
      </c>
      <c r="I940">
        <v>2023</v>
      </c>
      <c r="J940" t="s">
        <v>59</v>
      </c>
      <c r="K940" s="2" t="str">
        <f>HYPERLINK("https://www.nba.com/stats/events?CFID=&amp;CFPARAMS=&amp;GameEventID=242&amp;GameID=0022300114&amp;Season=2023-24&amp;flag=1&amp;title=N.%20Powell%2012'%20driving%20floating%20Jump%20Shot%20(10%20PTS)%20(K.%20Leonard%202%20AST)", "N. Powell 12' driving floating Jump Shot (10 PTS) (K. Leonard 2 AST)")</f>
        <v>N. Powell 12' driving floating Jump Shot (10 PTS) (K. Leonard 2 AST)</v>
      </c>
      <c r="L940" s="2" t="str">
        <f>HYPERLINK("https://www.nba.com/game/...-vs-...-0022300114/play-by-play?watchFullGame=true", "LAC vs ORL - Q2 07:27.00")</f>
        <v>LAC vs ORL - Q2 07:27.00</v>
      </c>
      <c r="M940">
        <v>12.92</v>
      </c>
      <c r="N940">
        <v>92.16</v>
      </c>
      <c r="O940">
        <v>75.489999999999995</v>
      </c>
      <c r="P940">
        <v>127</v>
      </c>
      <c r="Q940">
        <v>21</v>
      </c>
      <c r="R940">
        <v>92</v>
      </c>
      <c r="S940">
        <v>75</v>
      </c>
      <c r="T940" t="s">
        <v>58</v>
      </c>
    </row>
    <row r="941" spans="1:20" x14ac:dyDescent="0.25">
      <c r="A941">
        <v>22000509</v>
      </c>
      <c r="B941" t="s">
        <v>4</v>
      </c>
      <c r="C941" t="s">
        <v>64</v>
      </c>
      <c r="D941">
        <v>22</v>
      </c>
      <c r="E941">
        <v>17</v>
      </c>
      <c r="F941">
        <v>5</v>
      </c>
      <c r="G941">
        <v>1</v>
      </c>
      <c r="H941" s="1">
        <v>2.6967592592592594E-3</v>
      </c>
      <c r="I941">
        <v>2020</v>
      </c>
      <c r="J941" t="s">
        <v>59</v>
      </c>
      <c r="K941" s="2" t="str">
        <f>HYPERLINK("https://www.nba.com/stats/events?CFID=&amp;CFPARAMS=&amp;GameEventID=103&amp;GameID=0022000509&amp;Season=2020-21&amp;flag=1&amp;title=N.%20Batum%20cutting%20Layup%20(2%20PTS)%20(K.%20Leonard%203%20AST)", "N. Batum cutting Layup (2 PTS) (K. Leonard 3 AST)")</f>
        <v>N. Batum cutting Layup (2 PTS) (K. Leonard 3 AST)</v>
      </c>
      <c r="L941" s="2" t="str">
        <f>HYPERLINK("https://www.nba.com/game/...-vs-...-0022000509/play-by-play?watchFullGame=true", "LAC vs MEM - Q1 03:53.00")</f>
        <v>LAC vs MEM - Q1 03:53.00</v>
      </c>
      <c r="M941">
        <v>3.04</v>
      </c>
      <c r="N941">
        <v>92.46</v>
      </c>
      <c r="O941">
        <v>45.17</v>
      </c>
      <c r="P941">
        <v>-24</v>
      </c>
      <c r="Q941">
        <v>18</v>
      </c>
      <c r="R941">
        <v>92</v>
      </c>
      <c r="S941">
        <v>45</v>
      </c>
      <c r="T941" t="s">
        <v>58</v>
      </c>
    </row>
    <row r="942" spans="1:20" x14ac:dyDescent="0.25">
      <c r="A942">
        <v>22300716</v>
      </c>
      <c r="B942" t="s">
        <v>4</v>
      </c>
      <c r="C942" t="s">
        <v>65</v>
      </c>
      <c r="D942">
        <v>62</v>
      </c>
      <c r="E942">
        <v>58</v>
      </c>
      <c r="F942">
        <v>4</v>
      </c>
      <c r="G942">
        <v>2</v>
      </c>
      <c r="H942" s="1">
        <v>1.4351851851851852E-3</v>
      </c>
      <c r="I942">
        <v>2023</v>
      </c>
      <c r="J942" t="s">
        <v>59</v>
      </c>
      <c r="K942" s="2" t="str">
        <f>HYPERLINK("https://www.nba.com/stats/events?CFID=&amp;CFPARAMS=&amp;GameEventID=274&amp;GameID=0022300716&amp;Season=2023-24&amp;flag=1&amp;title=M.%20Plumlee%20cutting%20DUNK%20(6%20PTS)%20(K.%20Leonard%201%20AST)", "M. Plumlee cutting DUNK (6 PTS) (K. Leonard 1 AST)")</f>
        <v>M. Plumlee cutting DUNK (6 PTS) (K. Leonard 1 AST)</v>
      </c>
      <c r="L942" s="2" t="str">
        <f>HYPERLINK("https://www.nba.com/game/...-vs-...-0022300716/play-by-play?watchFullGame=true", "LAC vs ATL - Q2 02:04.00")</f>
        <v>LAC vs ATL - Q2 02:04.00</v>
      </c>
      <c r="M942">
        <v>1.35</v>
      </c>
      <c r="N942">
        <v>92.99</v>
      </c>
      <c r="O942">
        <v>50.25</v>
      </c>
      <c r="P942">
        <v>1</v>
      </c>
      <c r="Q942">
        <v>13</v>
      </c>
      <c r="R942">
        <v>92</v>
      </c>
      <c r="S942">
        <v>50</v>
      </c>
      <c r="T942" t="s">
        <v>58</v>
      </c>
    </row>
    <row r="943" spans="1:20" x14ac:dyDescent="0.25">
      <c r="A943">
        <v>22400733</v>
      </c>
      <c r="B943" t="s">
        <v>4</v>
      </c>
      <c r="C943" t="s">
        <v>65</v>
      </c>
      <c r="D943">
        <v>2</v>
      </c>
      <c r="E943">
        <v>0</v>
      </c>
      <c r="F943">
        <v>2</v>
      </c>
      <c r="G943">
        <v>1</v>
      </c>
      <c r="H943" s="1">
        <v>8.0902777777777778E-3</v>
      </c>
      <c r="I943">
        <v>2024</v>
      </c>
      <c r="J943" t="s">
        <v>59</v>
      </c>
      <c r="K943" s="2" t="str">
        <f>HYPERLINK("https://www.nba.com/stats/events?CFID=&amp;CFPARAMS=&amp;GameEventID=7&amp;GameID=0022400733&amp;Season=2024-25&amp;flag=1&amp;title=I.%20Zubac%20driving%20DUNK%20(2%20PTS)%20(K.%20Leonard%201%20AST)", "I. Zubac driving DUNK (2 PTS) (K. Leonard 1 AST)")</f>
        <v>I. Zubac driving DUNK (2 PTS) (K. Leonard 1 AST)</v>
      </c>
      <c r="L943" s="2" t="str">
        <f>HYPERLINK("https://www.nba.com/game/...-vs-...-0022400733/play-by-play?watchFullGame=true", "LAC vs IND - Q1 11:39.00")</f>
        <v>LAC vs IND - Q1 11:39.00</v>
      </c>
      <c r="M943">
        <v>1.84</v>
      </c>
      <c r="N943">
        <v>92.46</v>
      </c>
      <c r="O943">
        <v>50.25</v>
      </c>
      <c r="P943">
        <v>1</v>
      </c>
      <c r="Q943">
        <v>18</v>
      </c>
      <c r="R943">
        <v>92</v>
      </c>
      <c r="S943">
        <v>50</v>
      </c>
      <c r="T943" t="s">
        <v>58</v>
      </c>
    </row>
    <row r="944" spans="1:20" x14ac:dyDescent="0.25">
      <c r="A944">
        <v>22400859</v>
      </c>
      <c r="B944" t="s">
        <v>4</v>
      </c>
      <c r="C944" t="s">
        <v>65</v>
      </c>
      <c r="D944">
        <v>29</v>
      </c>
      <c r="E944">
        <v>30</v>
      </c>
      <c r="F944">
        <v>1</v>
      </c>
      <c r="G944">
        <v>2</v>
      </c>
      <c r="H944" s="1">
        <v>6.7361111111111111E-3</v>
      </c>
      <c r="I944">
        <v>2024</v>
      </c>
      <c r="J944" t="s">
        <v>59</v>
      </c>
      <c r="K944" s="2" t="str">
        <f>HYPERLINK("https://www.nba.com/stats/events?CFID=&amp;CFPARAMS=&amp;GameEventID=161&amp;GameID=0022400859&amp;Season=2024-25&amp;flag=1&amp;title=I.%20Zubac%20cutting%20DUNK%20(6%20PTS)%20(K.%20Leonard%202%20AST)", "I. Zubac cutting DUNK (6 PTS) (K. Leonard 2 AST)")</f>
        <v>I. Zubac cutting DUNK (6 PTS) (K. Leonard 2 AST)</v>
      </c>
      <c r="L944" s="2" t="str">
        <f>HYPERLINK("https://www.nba.com/game/...-vs-...-0022400859/play-by-play?watchFullGame=true", "LAC vs LAL - Q2 09:42.00")</f>
        <v>LAC vs LAL - Q2 09:42.00</v>
      </c>
      <c r="M944">
        <v>2.85</v>
      </c>
      <c r="N944">
        <v>92.64</v>
      </c>
      <c r="O944">
        <v>54.61</v>
      </c>
      <c r="P944">
        <v>23</v>
      </c>
      <c r="Q944">
        <v>17</v>
      </c>
      <c r="R944">
        <v>92</v>
      </c>
      <c r="S944">
        <v>54</v>
      </c>
      <c r="T944" t="s">
        <v>58</v>
      </c>
    </row>
    <row r="945" spans="1:20" x14ac:dyDescent="0.25">
      <c r="A945">
        <v>22400859</v>
      </c>
      <c r="B945" t="s">
        <v>4</v>
      </c>
      <c r="C945" t="s">
        <v>9</v>
      </c>
      <c r="D945">
        <v>5</v>
      </c>
      <c r="E945">
        <v>0</v>
      </c>
      <c r="F945">
        <v>5</v>
      </c>
      <c r="G945">
        <v>1</v>
      </c>
      <c r="H945" s="1">
        <v>7.6736111111111111E-3</v>
      </c>
      <c r="I945">
        <v>2024</v>
      </c>
      <c r="J945" t="s">
        <v>59</v>
      </c>
      <c r="K945" s="2" t="str">
        <f>HYPERLINK("https://www.nba.com/stats/events?CFID=&amp;CFPARAMS=&amp;GameEventID=13&amp;GameID=0022400859&amp;Season=2024-25&amp;flag=1&amp;title=K.%20Dunn%2012'%20running%20pullup%20Jump%20Shot%20(2%20PTS)%20(K.%20Leonard%201%20AST)", "K. Dunn 12' running pullup Jump Shot (2 PTS) (K. Leonard 1 AST)")</f>
        <v>K. Dunn 12' running pullup Jump Shot (2 PTS) (K. Leonard 1 AST)</v>
      </c>
      <c r="L945" s="2" t="str">
        <f>HYPERLINK("https://www.nba.com/game/...-vs-...-0022400859/play-by-play?watchFullGame=true", "LAC vs LAL - Q1 11:03.00")</f>
        <v>LAC vs LAL - Q1 11:03.00</v>
      </c>
      <c r="M945">
        <v>12.63</v>
      </c>
      <c r="N945">
        <v>92.51</v>
      </c>
      <c r="O945">
        <v>75</v>
      </c>
      <c r="P945">
        <v>125</v>
      </c>
      <c r="Q945">
        <v>18</v>
      </c>
      <c r="R945">
        <v>92</v>
      </c>
      <c r="S945">
        <v>75</v>
      </c>
      <c r="T945" t="s">
        <v>58</v>
      </c>
    </row>
    <row r="946" spans="1:20" x14ac:dyDescent="0.25">
      <c r="A946">
        <v>22200745</v>
      </c>
      <c r="B946" t="s">
        <v>4</v>
      </c>
      <c r="C946" t="s">
        <v>65</v>
      </c>
      <c r="D946">
        <v>56</v>
      </c>
      <c r="E946">
        <v>49</v>
      </c>
      <c r="F946">
        <v>7</v>
      </c>
      <c r="G946">
        <v>2</v>
      </c>
      <c r="H946" s="1">
        <v>1.5509259259259259E-3</v>
      </c>
      <c r="I946">
        <v>2022</v>
      </c>
      <c r="J946" t="s">
        <v>59</v>
      </c>
      <c r="K946" s="2" t="str">
        <f>HYPERLINK("https://www.nba.com/stats/events?CFID=&amp;CFPARAMS=&amp;GameEventID=264&amp;GameID=0022200745&amp;Season=2022-23&amp;flag=1&amp;title=I.%20Zubac%20cutting%20DUNK%20(8%20PTS)%20(K.%20Leonard%203%20AST)", "I. Zubac cutting DUNK (8 PTS) (K. Leonard 3 AST)")</f>
        <v>I. Zubac cutting DUNK (8 PTS) (K. Leonard 3 AST)</v>
      </c>
      <c r="L946" s="2" t="str">
        <f>HYPERLINK("https://www.nba.com/game/...-vs-...-0022200745/play-by-play?watchFullGame=true", "LAC vs ATL - Q2 02:14.00")</f>
        <v>LAC vs ATL - Q2 02:14.00</v>
      </c>
      <c r="M946">
        <v>1.59</v>
      </c>
      <c r="N946">
        <v>92.72</v>
      </c>
      <c r="O946">
        <v>50.25</v>
      </c>
      <c r="P946">
        <v>1</v>
      </c>
      <c r="Q946">
        <v>16</v>
      </c>
      <c r="R946">
        <v>92</v>
      </c>
      <c r="S946">
        <v>50</v>
      </c>
      <c r="T946" t="s">
        <v>58</v>
      </c>
    </row>
    <row r="947" spans="1:20" x14ac:dyDescent="0.25">
      <c r="A947">
        <v>22200932</v>
      </c>
      <c r="B947" t="s">
        <v>4</v>
      </c>
      <c r="C947" t="s">
        <v>64</v>
      </c>
      <c r="D947">
        <v>32</v>
      </c>
      <c r="E947">
        <v>20</v>
      </c>
      <c r="F947">
        <v>12</v>
      </c>
      <c r="G947">
        <v>1</v>
      </c>
      <c r="H947" s="1">
        <v>8.4490740740740739E-4</v>
      </c>
      <c r="I947">
        <v>2022</v>
      </c>
      <c r="J947" t="s">
        <v>59</v>
      </c>
      <c r="K947" s="2" t="str">
        <f>HYPERLINK("https://www.nba.com/stats/events?CFID=&amp;CFPARAMS=&amp;GameEventID=153&amp;GameID=0022200932&amp;Season=2022-23&amp;flag=1&amp;title=T.%20Mann%20cutting%20Layup%20(4%20PTS)%20(K.%20Leonard%202%20AST)", "T. Mann cutting Layup (4 PTS) (K. Leonard 2 AST)")</f>
        <v>T. Mann cutting Layup (4 PTS) (K. Leonard 2 AST)</v>
      </c>
      <c r="L947" s="2" t="str">
        <f>HYPERLINK("https://www.nba.com/game/...-vs-...-0022200932/play-by-play?watchFullGame=true", "LAC vs MIN - Q1 01:13.00")</f>
        <v>LAC vs MIN - Q1 01:13.00</v>
      </c>
      <c r="M947">
        <v>1.58</v>
      </c>
      <c r="N947">
        <v>92.82</v>
      </c>
      <c r="O947">
        <v>50.98</v>
      </c>
      <c r="P947">
        <v>5</v>
      </c>
      <c r="Q947">
        <v>15</v>
      </c>
      <c r="R947">
        <v>92</v>
      </c>
      <c r="S947">
        <v>50</v>
      </c>
      <c r="T947" t="s">
        <v>58</v>
      </c>
    </row>
    <row r="948" spans="1:20" x14ac:dyDescent="0.25">
      <c r="A948">
        <v>22300160</v>
      </c>
      <c r="B948" t="s">
        <v>4</v>
      </c>
      <c r="C948" t="s">
        <v>64</v>
      </c>
      <c r="D948">
        <v>14</v>
      </c>
      <c r="E948">
        <v>11</v>
      </c>
      <c r="F948">
        <v>3</v>
      </c>
      <c r="G948">
        <v>1</v>
      </c>
      <c r="H948" s="1">
        <v>3.449074074074074E-3</v>
      </c>
      <c r="I948">
        <v>2023</v>
      </c>
      <c r="J948" t="s">
        <v>59</v>
      </c>
      <c r="K948" s="2" t="str">
        <f>HYPERLINK("https://www.nba.com/stats/events?CFID=&amp;CFPARAMS=&amp;GameEventID=80&amp;GameID=0022300160&amp;Season=2023-24&amp;flag=1&amp;title=P.%20George%20running%20finger%20roll%20Layup%20(6%20PTS)%20(K.%20Leonard%201%20AST)", "P. George running finger roll Layup (6 PTS) (K. Leonard 1 AST)")</f>
        <v>P. George running finger roll Layup (6 PTS) (K. Leonard 1 AST)</v>
      </c>
      <c r="L948" s="2" t="str">
        <f>HYPERLINK("https://www.nba.com/game/...-vs-...-0022300160/play-by-play?watchFullGame=true", "LAC vs BKN - Q1 04:58.00")</f>
        <v>LAC vs BKN - Q1 04:58.00</v>
      </c>
      <c r="M948">
        <v>1.75</v>
      </c>
      <c r="N948">
        <v>92.59</v>
      </c>
      <c r="O948">
        <v>50.74</v>
      </c>
      <c r="P948">
        <v>4</v>
      </c>
      <c r="Q948">
        <v>17</v>
      </c>
      <c r="R948">
        <v>92</v>
      </c>
      <c r="S948">
        <v>50</v>
      </c>
      <c r="T948" t="s">
        <v>58</v>
      </c>
    </row>
    <row r="949" spans="1:20" x14ac:dyDescent="0.25">
      <c r="A949">
        <v>22400889</v>
      </c>
      <c r="B949" t="s">
        <v>10</v>
      </c>
      <c r="C949" t="s">
        <v>9</v>
      </c>
      <c r="D949">
        <v>45</v>
      </c>
      <c r="E949">
        <v>39</v>
      </c>
      <c r="F949">
        <v>6</v>
      </c>
      <c r="G949">
        <v>2</v>
      </c>
      <c r="H949" s="1">
        <v>3.8194444444444443E-3</v>
      </c>
      <c r="I949">
        <v>2024</v>
      </c>
      <c r="J949" t="s">
        <v>59</v>
      </c>
      <c r="K949" s="2" t="str">
        <f>HYPERLINK("https://www.nba.com/stats/events?CFID=&amp;CFPARAMS=&amp;GameEventID=220&amp;GameID=0022400889&amp;Season=2024-25&amp;flag=1&amp;title=N.%20Batum%203PT%20%20(3%20PTS)%20(K.%20Leonard%202%20AST)", "N. Batum 3PT  (3 PTS) (K. Leonard 2 AST)")</f>
        <v>N. Batum 3PT  (3 PTS) (K. Leonard 2 AST)</v>
      </c>
      <c r="L949" s="2" t="str">
        <f>HYPERLINK("https://www.nba.com/game/...-vs-...-0022400889/play-by-play?watchFullGame=true", "LAC vs PHX - Q2 05:30.00")</f>
        <v>LAC vs PHX - Q2 05:30.00</v>
      </c>
      <c r="M949">
        <v>22.83</v>
      </c>
      <c r="N949">
        <v>92.99</v>
      </c>
      <c r="O949">
        <v>95.59</v>
      </c>
      <c r="P949">
        <v>228</v>
      </c>
      <c r="Q949">
        <v>13</v>
      </c>
      <c r="R949">
        <v>92</v>
      </c>
      <c r="S949">
        <v>95</v>
      </c>
      <c r="T949" t="s">
        <v>58</v>
      </c>
    </row>
    <row r="950" spans="1:20" x14ac:dyDescent="0.25">
      <c r="A950">
        <v>22200970</v>
      </c>
      <c r="B950" t="s">
        <v>4</v>
      </c>
      <c r="C950" t="s">
        <v>64</v>
      </c>
      <c r="D950">
        <v>95</v>
      </c>
      <c r="E950">
        <v>109</v>
      </c>
      <c r="F950">
        <v>14</v>
      </c>
      <c r="G950">
        <v>3</v>
      </c>
      <c r="H950" s="1">
        <v>5.4861111111111104E-4</v>
      </c>
      <c r="I950">
        <v>2022</v>
      </c>
      <c r="J950" t="s">
        <v>59</v>
      </c>
      <c r="K950" s="2" t="str">
        <f>HYPERLINK("https://www.nba.com/stats/events?CFID=&amp;CFPARAMS=&amp;GameEventID=470&amp;GameID=0022200970&amp;Season=2022-23&amp;flag=1&amp;title=M.%20Plumlee%20cutting%20Layup%20(12%20PTS)%20(K.%20Leonard%204%20AST)", "M. Plumlee cutting Layup (12 PTS) (K. Leonard 4 AST)")</f>
        <v>M. Plumlee cutting Layup (12 PTS) (K. Leonard 4 AST)</v>
      </c>
      <c r="L950" s="2" t="str">
        <f>HYPERLINK("https://www.nba.com/game/...-vs-...-0022200970/play-by-play?watchFullGame=true", "LAC vs MEM - Q3 00:47.40")</f>
        <v>LAC vs MEM - Q3 00:47.40</v>
      </c>
      <c r="M950">
        <v>2.0099999999999998</v>
      </c>
      <c r="N950">
        <v>92.43</v>
      </c>
      <c r="O950">
        <v>51.47</v>
      </c>
      <c r="P950">
        <v>7</v>
      </c>
      <c r="Q950">
        <v>19</v>
      </c>
      <c r="R950">
        <v>92</v>
      </c>
      <c r="S950">
        <v>51</v>
      </c>
      <c r="T950" t="s">
        <v>58</v>
      </c>
    </row>
    <row r="951" spans="1:20" x14ac:dyDescent="0.25">
      <c r="A951">
        <v>22300235</v>
      </c>
      <c r="B951" t="s">
        <v>4</v>
      </c>
      <c r="C951" t="s">
        <v>64</v>
      </c>
      <c r="D951">
        <v>2</v>
      </c>
      <c r="E951">
        <v>0</v>
      </c>
      <c r="F951">
        <v>2</v>
      </c>
      <c r="G951">
        <v>1</v>
      </c>
      <c r="H951" s="1">
        <v>8.1250000000000003E-3</v>
      </c>
      <c r="I951">
        <v>2023</v>
      </c>
      <c r="J951" t="s">
        <v>59</v>
      </c>
      <c r="K951" s="2" t="str">
        <f>HYPERLINK("https://www.nba.com/stats/events?CFID=&amp;CFPARAMS=&amp;GameEventID=7&amp;GameID=0022300235&amp;Season=2023-24&amp;flag=1&amp;title=I.%20Zubac%20cutting%20Layup%20(2%20PTS)%20(K.%20Leonard%201%20AST)", "I. Zubac cutting Layup (2 PTS) (K. Leonard 1 AST)")</f>
        <v>I. Zubac cutting Layup (2 PTS) (K. Leonard 1 AST)</v>
      </c>
      <c r="L951" s="2" t="str">
        <f>HYPERLINK("https://www.nba.com/game/...-vs-...-0022300235/play-by-play?watchFullGame=true", "LAC vs SAS - Q1 11:42.00")</f>
        <v>LAC vs SAS - Q1 11:42.00</v>
      </c>
      <c r="M951">
        <v>4</v>
      </c>
      <c r="N951">
        <v>92.46</v>
      </c>
      <c r="O951">
        <v>42.89</v>
      </c>
      <c r="P951">
        <v>-36</v>
      </c>
      <c r="Q951">
        <v>18</v>
      </c>
      <c r="R951">
        <v>92</v>
      </c>
      <c r="S951">
        <v>42</v>
      </c>
      <c r="T951" t="s">
        <v>58</v>
      </c>
    </row>
    <row r="952" spans="1:20" x14ac:dyDescent="0.25">
      <c r="A952">
        <v>42000172</v>
      </c>
      <c r="B952" t="s">
        <v>4</v>
      </c>
      <c r="C952" t="s">
        <v>65</v>
      </c>
      <c r="D952">
        <v>53</v>
      </c>
      <c r="E952">
        <v>53</v>
      </c>
      <c r="F952">
        <v>0</v>
      </c>
      <c r="G952">
        <v>2</v>
      </c>
      <c r="H952" s="1">
        <v>3.7268518518518519E-3</v>
      </c>
      <c r="I952" t="s">
        <v>66</v>
      </c>
      <c r="J952" t="s">
        <v>59</v>
      </c>
      <c r="K952" s="2" t="str">
        <f>HYPERLINK("https://www.nba.com/stats/events?CFID=&amp;CFPARAMS=&amp;GameEventID=226&amp;GameID=0042000172&amp;Season=2020-21&amp;flag=1&amp;title=P.%20George%20DUNK%20(12%20PTS)%20(K.%20Leonard%202%20AST)", "P. George DUNK (12 PTS) (K. Leonard 2 AST)")</f>
        <v>P. George DUNK (12 PTS) (K. Leonard 2 AST)</v>
      </c>
      <c r="L952" s="2" t="str">
        <f>HYPERLINK("https://www.nba.com/game/...-vs-...-0042000172/play-by-play?watchFullGame=true", "LAC vs DAL - Q2 05:22.00")</f>
        <v>LAC vs DAL - Q2 05:22.00</v>
      </c>
      <c r="M952">
        <v>2.23</v>
      </c>
      <c r="N952">
        <v>92.07</v>
      </c>
      <c r="O952">
        <v>49.33</v>
      </c>
      <c r="P952">
        <v>92</v>
      </c>
      <c r="Q952">
        <v>49</v>
      </c>
      <c r="R952">
        <v>92</v>
      </c>
      <c r="S952">
        <v>49</v>
      </c>
      <c r="T952" t="s">
        <v>58</v>
      </c>
    </row>
    <row r="953" spans="1:20" x14ac:dyDescent="0.25">
      <c r="A953">
        <v>22001047</v>
      </c>
      <c r="B953" t="s">
        <v>10</v>
      </c>
      <c r="C953" t="s">
        <v>9</v>
      </c>
      <c r="D953">
        <v>54</v>
      </c>
      <c r="E953">
        <v>55</v>
      </c>
      <c r="F953">
        <v>1</v>
      </c>
      <c r="G953">
        <v>3</v>
      </c>
      <c r="H953" s="1">
        <v>6.1342592592592594E-3</v>
      </c>
      <c r="I953">
        <v>2020</v>
      </c>
      <c r="J953" t="s">
        <v>59</v>
      </c>
      <c r="K953" s="2" t="str">
        <f>HYPERLINK("https://www.nba.com/stats/events?CFID=&amp;CFPARAMS=&amp;GameEventID=343&amp;GameID=0022001047&amp;Season=2020-21&amp;flag=1&amp;title=P.%20George%203PT%20%20(9%20PTS)%20(K.%20Leonard%206%20AST)", "P. George 3PT  (9 PTS) (K. Leonard 6 AST)")</f>
        <v>P. George 3PT  (9 PTS) (K. Leonard 6 AST)</v>
      </c>
      <c r="L953" s="2" t="str">
        <f>HYPERLINK("https://www.nba.com/game/...-vs-...-0022001047/play-by-play?watchFullGame=true", "LAC vs CHA - Q3 08:50.00")</f>
        <v>LAC vs CHA - Q3 08:50.00</v>
      </c>
      <c r="M953">
        <v>22.76</v>
      </c>
      <c r="N953">
        <v>92.85</v>
      </c>
      <c r="O953">
        <v>95.41</v>
      </c>
      <c r="P953">
        <v>227</v>
      </c>
      <c r="Q953">
        <v>15</v>
      </c>
      <c r="R953">
        <v>92</v>
      </c>
      <c r="S953">
        <v>95</v>
      </c>
      <c r="T953" t="s">
        <v>58</v>
      </c>
    </row>
    <row r="954" spans="1:20" x14ac:dyDescent="0.25">
      <c r="A954">
        <v>22200255</v>
      </c>
      <c r="B954" t="s">
        <v>4</v>
      </c>
      <c r="C954" t="s">
        <v>64</v>
      </c>
      <c r="D954">
        <v>78</v>
      </c>
      <c r="E954">
        <v>68</v>
      </c>
      <c r="F954">
        <v>10</v>
      </c>
      <c r="G954">
        <v>3</v>
      </c>
      <c r="H954" s="1">
        <v>4.8148148148148152E-3</v>
      </c>
      <c r="I954">
        <v>2022</v>
      </c>
      <c r="J954" t="s">
        <v>59</v>
      </c>
      <c r="K954" s="2" t="str">
        <f>HYPERLINK("https://www.nba.com/stats/events?CFID=&amp;CFPARAMS=&amp;GameEventID=382&amp;GameID=0022200255&amp;Season=2022-23&amp;flag=1&amp;title=T.%20Mann%20driving%20Layup%20(6%20PTS)%20(K.%20Leonard%204%20AST)", "T. Mann driving Layup (6 PTS) (K. Leonard 4 AST)")</f>
        <v>T. Mann driving Layup (6 PTS) (K. Leonard 4 AST)</v>
      </c>
      <c r="L954" s="2" t="str">
        <f>HYPERLINK("https://www.nba.com/game/...-vs-...-0022200255/play-by-play?watchFullGame=true", "LAC vs UTA - Q3 06:56.00")</f>
        <v>LAC vs UTA - Q3 06:56.00</v>
      </c>
      <c r="M954">
        <v>2.12</v>
      </c>
      <c r="N954">
        <v>92.16</v>
      </c>
      <c r="O954">
        <v>49.51</v>
      </c>
      <c r="P954">
        <v>-2</v>
      </c>
      <c r="Q954">
        <v>21</v>
      </c>
      <c r="R954">
        <v>92</v>
      </c>
      <c r="S954">
        <v>49</v>
      </c>
      <c r="T954" t="s">
        <v>58</v>
      </c>
    </row>
    <row r="955" spans="1:20" x14ac:dyDescent="0.25">
      <c r="A955">
        <v>22300074</v>
      </c>
      <c r="B955" t="s">
        <v>4</v>
      </c>
      <c r="C955" t="s">
        <v>64</v>
      </c>
      <c r="D955">
        <v>53</v>
      </c>
      <c r="E955">
        <v>40</v>
      </c>
      <c r="F955">
        <v>13</v>
      </c>
      <c r="G955">
        <v>2</v>
      </c>
      <c r="H955" s="1">
        <v>3.5069444444444445E-3</v>
      </c>
      <c r="I955">
        <v>2023</v>
      </c>
      <c r="J955" t="s">
        <v>59</v>
      </c>
      <c r="K955" s="2" t="str">
        <f>HYPERLINK("https://www.nba.com/stats/events?CFID=&amp;CFPARAMS=&amp;GameEventID=268&amp;GameID=0022300074&amp;Season=2023-24&amp;flag=1&amp;title=P.%20George%20driving%20Layup%20(13%20PTS)%20(K.%20Leonard%203%20AST)", "P. George driving Layup (13 PTS) (K. Leonard 3 AST)")</f>
        <v>P. George driving Layup (13 PTS) (K. Leonard 3 AST)</v>
      </c>
      <c r="L955" s="2" t="str">
        <f>HYPERLINK("https://www.nba.com/game/...-vs-...-0022300074/play-by-play?watchFullGame=true", "LAC vs POR - Q2 05:03.00")</f>
        <v>LAC vs POR - Q2 05:03.00</v>
      </c>
      <c r="M955">
        <v>2.0099999999999998</v>
      </c>
      <c r="N955">
        <v>92.3</v>
      </c>
      <c r="O955">
        <v>50.49</v>
      </c>
      <c r="P955">
        <v>2</v>
      </c>
      <c r="Q955">
        <v>20</v>
      </c>
      <c r="R955">
        <v>92</v>
      </c>
      <c r="S955">
        <v>50</v>
      </c>
      <c r="T955" t="s">
        <v>58</v>
      </c>
    </row>
    <row r="956" spans="1:20" x14ac:dyDescent="0.25">
      <c r="A956">
        <v>22300350</v>
      </c>
      <c r="B956" t="s">
        <v>4</v>
      </c>
      <c r="C956" t="s">
        <v>64</v>
      </c>
      <c r="D956">
        <v>21</v>
      </c>
      <c r="E956">
        <v>18</v>
      </c>
      <c r="F956">
        <v>3</v>
      </c>
      <c r="G956">
        <v>1</v>
      </c>
      <c r="H956" s="1">
        <v>4.1203703703703706E-3</v>
      </c>
      <c r="I956">
        <v>2023</v>
      </c>
      <c r="J956" t="s">
        <v>59</v>
      </c>
      <c r="K956" s="2" t="str">
        <f>HYPERLINK("https://www.nba.com/stats/events?CFID=&amp;CFPARAMS=&amp;GameEventID=74&amp;GameID=0022300350&amp;Season=2023-24&amp;flag=1&amp;title=R.%20Westbrook%20cutting%20Layup%20(2%20PTS)%20(K.%20Leonard%201%20AST)", "R. Westbrook cutting Layup (2 PTS) (K. Leonard 1 AST)")</f>
        <v>R. Westbrook cutting Layup (2 PTS) (K. Leonard 1 AST)</v>
      </c>
      <c r="L956" s="2" t="str">
        <f>HYPERLINK("https://www.nba.com/game/...-vs-...-0022300350/play-by-play?watchFullGame=true", "LAC vs IND - Q1 05:56.00")</f>
        <v>LAC vs IND - Q1 05:56.00</v>
      </c>
      <c r="M956">
        <v>3.3</v>
      </c>
      <c r="N956">
        <v>92.59</v>
      </c>
      <c r="O956">
        <v>55.64</v>
      </c>
      <c r="P956">
        <v>28</v>
      </c>
      <c r="Q956">
        <v>17</v>
      </c>
      <c r="R956">
        <v>92</v>
      </c>
      <c r="S956">
        <v>55</v>
      </c>
      <c r="T956" t="s">
        <v>58</v>
      </c>
    </row>
    <row r="957" spans="1:20" x14ac:dyDescent="0.25">
      <c r="A957">
        <v>22300074</v>
      </c>
      <c r="B957" t="s">
        <v>4</v>
      </c>
      <c r="C957" t="s">
        <v>65</v>
      </c>
      <c r="D957">
        <v>4</v>
      </c>
      <c r="E957">
        <v>0</v>
      </c>
      <c r="F957">
        <v>4</v>
      </c>
      <c r="G957">
        <v>1</v>
      </c>
      <c r="H957" s="1">
        <v>7.1412037037037034E-3</v>
      </c>
      <c r="I957">
        <v>2023</v>
      </c>
      <c r="J957" t="s">
        <v>59</v>
      </c>
      <c r="K957" s="2" t="str">
        <f>HYPERLINK("https://www.nba.com/stats/events?CFID=&amp;CFPARAMS=&amp;GameEventID=27&amp;GameID=0022300074&amp;Season=2023-24&amp;flag=1&amp;title=R.%20Westbrook%20cutting%20DUNK%20(2%20PTS)%20(K.%20Leonard%201%20AST)", "R. Westbrook cutting DUNK (2 PTS) (K. Leonard 1 AST)")</f>
        <v>R. Westbrook cutting DUNK (2 PTS) (K. Leonard 1 AST)</v>
      </c>
      <c r="L957" s="2" t="str">
        <f>HYPERLINK("https://www.nba.com/game/...-vs-...-0022300074/play-by-play?watchFullGame=true", "LAC vs POR - Q1 10:17.00")</f>
        <v>LAC vs POR - Q1 10:17.00</v>
      </c>
      <c r="M957">
        <v>2.4500000000000002</v>
      </c>
      <c r="N957">
        <v>92.69</v>
      </c>
      <c r="O957">
        <v>46.32</v>
      </c>
      <c r="P957">
        <v>-18</v>
      </c>
      <c r="Q957">
        <v>16</v>
      </c>
      <c r="R957">
        <v>92</v>
      </c>
      <c r="S957">
        <v>46</v>
      </c>
      <c r="T957" t="s">
        <v>58</v>
      </c>
    </row>
    <row r="958" spans="1:20" x14ac:dyDescent="0.25">
      <c r="A958">
        <v>41900151</v>
      </c>
      <c r="B958" t="s">
        <v>10</v>
      </c>
      <c r="C958" t="s">
        <v>61</v>
      </c>
      <c r="D958">
        <v>48</v>
      </c>
      <c r="E958">
        <v>52</v>
      </c>
      <c r="F958">
        <v>4</v>
      </c>
      <c r="G958">
        <v>2</v>
      </c>
      <c r="H958" s="1">
        <v>3.5416666666666665E-3</v>
      </c>
      <c r="I958" t="s">
        <v>68</v>
      </c>
      <c r="J958" t="s">
        <v>59</v>
      </c>
      <c r="K958" s="2" t="str">
        <f>HYPERLINK("https://www.nba.com/stats/events?CFID=&amp;CFPARAMS=&amp;GameEventID=279&amp;GameID=0041900151&amp;Season=2019-20&amp;flag=1&amp;title=L.%20Williams%2023'%203PT%20%20(5%20PTS)%20(K.%20Leonard%202%20AST)", "L. Williams 23' 3PT  (5 PTS) (K. Leonard 2 AST)")</f>
        <v>L. Williams 23' 3PT  (5 PTS) (K. Leonard 2 AST)</v>
      </c>
      <c r="L958" s="2" t="str">
        <f>HYPERLINK("https://www.nba.com/game/...-vs-...-0041900151/play-by-play?watchFullGame=true", "LAC vs DAL - Q2 05:06.00")</f>
        <v>LAC vs DAL - Q2 05:06.00</v>
      </c>
      <c r="M958">
        <v>23.08</v>
      </c>
      <c r="N958">
        <v>92.99</v>
      </c>
      <c r="O958">
        <v>3.99</v>
      </c>
      <c r="P958">
        <v>-230</v>
      </c>
      <c r="Q958">
        <v>13</v>
      </c>
      <c r="R958">
        <v>92</v>
      </c>
      <c r="S958">
        <v>3</v>
      </c>
      <c r="T958" t="s">
        <v>58</v>
      </c>
    </row>
    <row r="959" spans="1:20" x14ac:dyDescent="0.25">
      <c r="A959">
        <v>41900233</v>
      </c>
      <c r="B959" t="s">
        <v>4</v>
      </c>
      <c r="C959" t="s">
        <v>63</v>
      </c>
      <c r="D959">
        <v>101</v>
      </c>
      <c r="E959">
        <v>101</v>
      </c>
      <c r="F959">
        <v>0</v>
      </c>
      <c r="G959">
        <v>4</v>
      </c>
      <c r="H959" s="1">
        <v>3.3680555555555556E-3</v>
      </c>
      <c r="I959" t="s">
        <v>62</v>
      </c>
      <c r="J959" t="s">
        <v>59</v>
      </c>
      <c r="K959" s="2" t="str">
        <f>HYPERLINK("https://www.nba.com/stats/events?CFID=&amp;CFPARAMS=&amp;GameEventID=571&amp;GameID=0041900233&amp;Season=2019-20&amp;flag=1&amp;title=I.%20Zubac%20dunk%20(7%20PTS)%20(K.%20Leonard%206%20AST)", "I. Zubac dunk (7 PTS) (K. Leonard 6 AST)")</f>
        <v>I. Zubac dunk (7 PTS) (K. Leonard 6 AST)</v>
      </c>
      <c r="L959" s="2" t="str">
        <f>HYPERLINK("https://www.nba.com/game/...-vs-...-0041900233/play-by-play?watchFullGame=true", "LAC vs DEN - Q4 04:51.00")</f>
        <v>LAC vs DEN - Q4 04:51.00</v>
      </c>
      <c r="M959">
        <v>2.94</v>
      </c>
      <c r="N959">
        <v>92.07</v>
      </c>
      <c r="O959">
        <v>52.03</v>
      </c>
      <c r="P959">
        <v>10</v>
      </c>
      <c r="Q959">
        <v>22</v>
      </c>
      <c r="R959">
        <v>92</v>
      </c>
      <c r="S959">
        <v>52</v>
      </c>
      <c r="T959" t="s">
        <v>58</v>
      </c>
    </row>
    <row r="960" spans="1:20" x14ac:dyDescent="0.25">
      <c r="A960">
        <v>22000775</v>
      </c>
      <c r="B960" t="s">
        <v>4</v>
      </c>
      <c r="C960" t="s">
        <v>70</v>
      </c>
      <c r="D960">
        <v>30</v>
      </c>
      <c r="E960">
        <v>20</v>
      </c>
      <c r="F960">
        <v>10</v>
      </c>
      <c r="G960">
        <v>1</v>
      </c>
      <c r="H960" s="1">
        <v>3.6921296296296298E-3</v>
      </c>
      <c r="I960">
        <v>2020</v>
      </c>
      <c r="J960" t="s">
        <v>59</v>
      </c>
      <c r="K960" s="2" t="str">
        <f>HYPERLINK("https://www.nba.com/stats/events?CFID=&amp;CFPARAMS=&amp;GameEventID=74&amp;GameID=0022000775&amp;Season=2020-21&amp;flag=1&amp;title=I.%20Zubac%20bank%20Hook%20(6%20PTS)%20(K.%20Leonard%204%20AST)", "I. Zubac bank Hook (6 PTS) (K. Leonard 4 AST)")</f>
        <v>I. Zubac bank Hook (6 PTS) (K. Leonard 4 AST)</v>
      </c>
      <c r="L960" s="2" t="str">
        <f>HYPERLINK("https://www.nba.com/game/...-vs-...-0022000775/play-by-play?watchFullGame=true", "LAC vs POR - Q1 05:19.00")</f>
        <v>LAC vs POR - Q1 05:19.00</v>
      </c>
      <c r="M960">
        <v>4.5999999999999996</v>
      </c>
      <c r="N960">
        <v>92.12</v>
      </c>
      <c r="O960">
        <v>58.12</v>
      </c>
      <c r="P960">
        <v>41</v>
      </c>
      <c r="Q960">
        <v>22</v>
      </c>
      <c r="R960">
        <v>92</v>
      </c>
      <c r="S960">
        <v>58</v>
      </c>
      <c r="T960" t="s">
        <v>58</v>
      </c>
    </row>
    <row r="961" spans="1:20" x14ac:dyDescent="0.25">
      <c r="A961">
        <v>22200639</v>
      </c>
      <c r="B961" t="s">
        <v>4</v>
      </c>
      <c r="C961" t="s">
        <v>65</v>
      </c>
      <c r="D961">
        <v>17</v>
      </c>
      <c r="E961">
        <v>14</v>
      </c>
      <c r="F961">
        <v>3</v>
      </c>
      <c r="G961">
        <v>1</v>
      </c>
      <c r="H961" s="1">
        <v>4.9537037037037041E-3</v>
      </c>
      <c r="I961">
        <v>2022</v>
      </c>
      <c r="J961" t="s">
        <v>59</v>
      </c>
      <c r="K961" s="2" t="str">
        <f>HYPERLINK("https://www.nba.com/stats/events?CFID=&amp;CFPARAMS=&amp;GameEventID=51&amp;GameID=0022200639&amp;Season=2022-23&amp;flag=1&amp;title=T.%20Mann%20cutting%20DUNK%20(5%20PTS)%20(K.%20Leonard%202%20AST)", "T. Mann cutting DUNK (5 PTS) (K. Leonard 2 AST)")</f>
        <v>T. Mann cutting DUNK (5 PTS) (K. Leonard 2 AST)</v>
      </c>
      <c r="L961" s="2" t="str">
        <f>HYPERLINK("https://www.nba.com/game/...-vs-...-0022200639/play-by-play?watchFullGame=true", "LAC vs DEN - Q1 07:08.00")</f>
        <v>LAC vs DEN - Q1 07:08.00</v>
      </c>
      <c r="M961">
        <v>2.08</v>
      </c>
      <c r="N961">
        <v>92.3</v>
      </c>
      <c r="O961">
        <v>48.77</v>
      </c>
      <c r="P961">
        <v>-6</v>
      </c>
      <c r="Q961">
        <v>20</v>
      </c>
      <c r="R961">
        <v>92</v>
      </c>
      <c r="S961">
        <v>48</v>
      </c>
      <c r="T961" t="s">
        <v>58</v>
      </c>
    </row>
    <row r="962" spans="1:20" x14ac:dyDescent="0.25">
      <c r="A962">
        <v>22200829</v>
      </c>
      <c r="B962" t="s">
        <v>4</v>
      </c>
      <c r="C962" t="s">
        <v>70</v>
      </c>
      <c r="D962">
        <v>51</v>
      </c>
      <c r="E962">
        <v>60</v>
      </c>
      <c r="F962">
        <v>9</v>
      </c>
      <c r="G962">
        <v>2</v>
      </c>
      <c r="H962" s="1">
        <v>1.539351851851852E-4</v>
      </c>
      <c r="I962">
        <v>2022</v>
      </c>
      <c r="J962" t="s">
        <v>59</v>
      </c>
      <c r="K962" s="2" t="str">
        <f>HYPERLINK("https://www.nba.com/stats/events?CFID=&amp;CFPARAMS=&amp;GameEventID=302&amp;GameID=0022200829&amp;Season=2022-23&amp;flag=1&amp;title=I.%20Zubac%20turnaround%20bank%20Hook%20(7%20PTS)%20(K.%20Leonard%203%20AST)", "I. Zubac turnaround bank Hook (7 PTS) (K. Leonard 3 AST)")</f>
        <v>I. Zubac turnaround bank Hook (7 PTS) (K. Leonard 3 AST)</v>
      </c>
      <c r="L962" s="2" t="str">
        <f>HYPERLINK("https://www.nba.com/game/...-vs-...-0022200829/play-by-play?watchFullGame=true", "LAC vs DAL - Q2 00:13.30")</f>
        <v>LAC vs DAL - Q2 00:13.30</v>
      </c>
      <c r="M962">
        <v>2.4</v>
      </c>
      <c r="N962">
        <v>92.03</v>
      </c>
      <c r="O962">
        <v>48.28</v>
      </c>
      <c r="P962">
        <v>-9</v>
      </c>
      <c r="Q962">
        <v>22</v>
      </c>
      <c r="R962">
        <v>92</v>
      </c>
      <c r="S962">
        <v>48</v>
      </c>
      <c r="T962" t="s">
        <v>58</v>
      </c>
    </row>
    <row r="963" spans="1:20" x14ac:dyDescent="0.25">
      <c r="A963">
        <v>41900152</v>
      </c>
      <c r="B963" t="s">
        <v>4</v>
      </c>
      <c r="C963" t="s">
        <v>69</v>
      </c>
      <c r="D963">
        <v>90</v>
      </c>
      <c r="E963">
        <v>106</v>
      </c>
      <c r="F963">
        <v>16</v>
      </c>
      <c r="G963">
        <v>4</v>
      </c>
      <c r="H963" s="1">
        <v>6.4236111111111108E-3</v>
      </c>
      <c r="I963" t="s">
        <v>68</v>
      </c>
      <c r="J963" t="s">
        <v>59</v>
      </c>
      <c r="K963" s="2" t="str">
        <f>HYPERLINK("https://www.nba.com/stats/events?CFID=&amp;CFPARAMS=&amp;GameEventID=599&amp;GameID=0041900152&amp;Season=2019-20&amp;flag=1&amp;title=L.%20Shamet%20layup%20(2%20PTS)%20(K.%20Leonard%202%20AST)", "L. Shamet layup (2 PTS) (K. Leonard 2 AST)")</f>
        <v>L. Shamet layup (2 PTS) (K. Leonard 2 AST)</v>
      </c>
      <c r="L963" s="2" t="str">
        <f>HYPERLINK("https://www.nba.com/game/...-vs-...-0041900152/play-by-play?watchFullGame=true", "LAC vs DAL - Q4 09:15.00")</f>
        <v>LAC vs DAL - Q4 09:15.00</v>
      </c>
      <c r="M963">
        <v>2.52</v>
      </c>
      <c r="N963">
        <v>92.33</v>
      </c>
      <c r="O963">
        <v>49.58</v>
      </c>
      <c r="P963">
        <v>-2</v>
      </c>
      <c r="Q963">
        <v>20</v>
      </c>
      <c r="R963">
        <v>92</v>
      </c>
      <c r="S963">
        <v>49</v>
      </c>
      <c r="T963" t="s">
        <v>58</v>
      </c>
    </row>
    <row r="964" spans="1:20" x14ac:dyDescent="0.25">
      <c r="A964">
        <v>22300325</v>
      </c>
      <c r="B964" t="s">
        <v>4</v>
      </c>
      <c r="C964" t="s">
        <v>64</v>
      </c>
      <c r="D964">
        <v>115</v>
      </c>
      <c r="E964">
        <v>107</v>
      </c>
      <c r="F964">
        <v>8</v>
      </c>
      <c r="G964">
        <v>4</v>
      </c>
      <c r="H964" s="1">
        <v>2.1990740740740742E-3</v>
      </c>
      <c r="I964">
        <v>2023</v>
      </c>
      <c r="J964" t="s">
        <v>59</v>
      </c>
      <c r="K964" s="2" t="str">
        <f>HYPERLINK("https://www.nba.com/stats/events?CFID=&amp;CFPARAMS=&amp;GameEventID=616&amp;GameID=0022300325&amp;Season=2023-24&amp;flag=1&amp;title=N.%20Powell%20cutting%20Layup%20(17%20PTS)%20(K.%20Leonard%202%20AST)", "N. Powell cutting Layup (17 PTS) (K. Leonard 2 AST)")</f>
        <v>N. Powell cutting Layup (17 PTS) (K. Leonard 2 AST)</v>
      </c>
      <c r="L964" s="2" t="str">
        <f>HYPERLINK("https://www.nba.com/game/...-vs-...-0022300325/play-by-play?watchFullGame=true", "LAC vs GSW - Q4 03:10.00")</f>
        <v>LAC vs GSW - Q4 03:10.00</v>
      </c>
      <c r="M964">
        <v>2.8</v>
      </c>
      <c r="N964">
        <v>92.16</v>
      </c>
      <c r="O964">
        <v>53.68</v>
      </c>
      <c r="P964">
        <v>18</v>
      </c>
      <c r="Q964">
        <v>21</v>
      </c>
      <c r="R964">
        <v>92</v>
      </c>
      <c r="S964">
        <v>53</v>
      </c>
      <c r="T964" t="s">
        <v>58</v>
      </c>
    </row>
    <row r="965" spans="1:20" x14ac:dyDescent="0.25">
      <c r="A965">
        <v>42000171</v>
      </c>
      <c r="B965" t="s">
        <v>4</v>
      </c>
      <c r="C965" t="s">
        <v>70</v>
      </c>
      <c r="D965">
        <v>2</v>
      </c>
      <c r="E965">
        <v>4</v>
      </c>
      <c r="F965">
        <v>2</v>
      </c>
      <c r="G965">
        <v>1</v>
      </c>
      <c r="H965" s="1">
        <v>7.2337962962962963E-3</v>
      </c>
      <c r="I965" t="s">
        <v>66</v>
      </c>
      <c r="J965" t="s">
        <v>59</v>
      </c>
      <c r="K965" s="2" t="str">
        <f>HYPERLINK("https://www.nba.com/stats/events?CFID=&amp;CFPARAMS=&amp;GameEventID=26&amp;GameID=0042000171&amp;Season=2020-21&amp;flag=1&amp;title=I.%20Zubac%20turnaround%20Hook%20(2%20PTS)%20(K.%20Leonard%201%20AST)", "I. Zubac turnaround Hook (2 PTS) (K. Leonard 1 AST)")</f>
        <v>I. Zubac turnaround Hook (2 PTS) (K. Leonard 1 AST)</v>
      </c>
      <c r="L965" s="2" t="str">
        <f>HYPERLINK("https://www.nba.com/game/...-vs-...-0042000171/play-by-play?watchFullGame=true", "LAC vs DAL - Q1 10:25.00")</f>
        <v>LAC vs DAL - Q1 10:25.00</v>
      </c>
      <c r="M965">
        <v>1.59</v>
      </c>
      <c r="N965">
        <v>92.72</v>
      </c>
      <c r="O965">
        <v>50.07</v>
      </c>
      <c r="P965">
        <v>92</v>
      </c>
      <c r="Q965">
        <v>50</v>
      </c>
      <c r="R965">
        <v>92</v>
      </c>
      <c r="S965">
        <v>50</v>
      </c>
      <c r="T965" t="s">
        <v>58</v>
      </c>
    </row>
    <row r="966" spans="1:20" x14ac:dyDescent="0.25">
      <c r="A966">
        <v>42000224</v>
      </c>
      <c r="B966" t="s">
        <v>4</v>
      </c>
      <c r="C966" t="s">
        <v>65</v>
      </c>
      <c r="D966">
        <v>73</v>
      </c>
      <c r="E966">
        <v>56</v>
      </c>
      <c r="F966">
        <v>17</v>
      </c>
      <c r="G966">
        <v>3</v>
      </c>
      <c r="H966" s="1">
        <v>6.2731481481481484E-3</v>
      </c>
      <c r="I966" t="s">
        <v>71</v>
      </c>
      <c r="J966" t="s">
        <v>59</v>
      </c>
      <c r="K966" s="2" t="str">
        <f>HYPERLINK("https://www.nba.com/stats/events?CFID=&amp;CFPARAMS=&amp;GameEventID=344&amp;GameID=0042000224&amp;Season=2020-21&amp;flag=1&amp;title=P.%20George%20driving%20DUNK%20(17%20PTS)%20(K.%20Leonard%203%20AST)", "P. George driving DUNK (17 PTS) (K. Leonard 3 AST)")</f>
        <v>P. George driving DUNK (17 PTS) (K. Leonard 3 AST)</v>
      </c>
      <c r="L966" s="2" t="str">
        <f>HYPERLINK("https://www.nba.com/game/...-vs-...-0042000224/play-by-play?watchFullGame=true", "LAC vs UTA - Q3 09:02.00")</f>
        <v>LAC vs UTA - Q3 09:02.00</v>
      </c>
      <c r="M966">
        <v>1.99</v>
      </c>
      <c r="N966">
        <v>92.3</v>
      </c>
      <c r="O966">
        <v>49.93</v>
      </c>
      <c r="P966">
        <v>92</v>
      </c>
      <c r="Q966">
        <v>49</v>
      </c>
      <c r="R966">
        <v>92</v>
      </c>
      <c r="S966">
        <v>49</v>
      </c>
      <c r="T966" t="s">
        <v>58</v>
      </c>
    </row>
    <row r="967" spans="1:20" x14ac:dyDescent="0.25">
      <c r="A967">
        <v>22400596</v>
      </c>
      <c r="B967" t="s">
        <v>4</v>
      </c>
      <c r="C967" t="s">
        <v>65</v>
      </c>
      <c r="D967">
        <v>7</v>
      </c>
      <c r="E967">
        <v>6</v>
      </c>
      <c r="F967">
        <v>1</v>
      </c>
      <c r="G967">
        <v>1</v>
      </c>
      <c r="H967" s="1">
        <v>6.7245370370370367E-3</v>
      </c>
      <c r="I967">
        <v>2024</v>
      </c>
      <c r="J967" t="s">
        <v>59</v>
      </c>
      <c r="K967" s="2" t="str">
        <f>HYPERLINK("https://www.nba.com/stats/events?CFID=&amp;CFPARAMS=&amp;GameEventID=24&amp;GameID=0022400596&amp;Season=2024-25&amp;flag=1&amp;title=N.%20Powell%20cutting%20DUNK%20(7%20PTS)%20(K.%20Leonard%202%20AST)", "N. Powell cutting DUNK (7 PTS) (K. Leonard 2 AST)")</f>
        <v>N. Powell cutting DUNK (7 PTS) (K. Leonard 2 AST)</v>
      </c>
      <c r="L967" s="2" t="str">
        <f>HYPERLINK("https://www.nba.com/game/...-vs-...-0022400596/play-by-play?watchFullGame=true", "LAC vs LAL - Q1 09:41.00")</f>
        <v>LAC vs LAL - Q1 09:41.00</v>
      </c>
      <c r="M967">
        <v>1.93</v>
      </c>
      <c r="N967">
        <v>92.77</v>
      </c>
      <c r="O967">
        <v>47.65</v>
      </c>
      <c r="P967">
        <v>-12</v>
      </c>
      <c r="Q967">
        <v>15</v>
      </c>
      <c r="R967">
        <v>92</v>
      </c>
      <c r="S967">
        <v>47</v>
      </c>
      <c r="T967" t="s">
        <v>58</v>
      </c>
    </row>
    <row r="968" spans="1:20" x14ac:dyDescent="0.25">
      <c r="A968">
        <v>42000222</v>
      </c>
      <c r="B968" t="s">
        <v>4</v>
      </c>
      <c r="C968" t="s">
        <v>64</v>
      </c>
      <c r="D968">
        <v>93</v>
      </c>
      <c r="E968">
        <v>95</v>
      </c>
      <c r="F968">
        <v>2</v>
      </c>
      <c r="G968">
        <v>4</v>
      </c>
      <c r="H968" s="1">
        <v>6.4351851851851853E-3</v>
      </c>
      <c r="I968" t="s">
        <v>71</v>
      </c>
      <c r="J968" t="s">
        <v>59</v>
      </c>
      <c r="K968" s="2" t="str">
        <f>HYPERLINK("https://www.nba.com/stats/events?CFID=&amp;CFPARAMS=&amp;GameEventID=493&amp;GameID=0042000222&amp;Season=2020-21&amp;flag=1&amp;title=P.%20George%20driving%20Layup%20(19%20PTS)%20(K.%20Leonard%205%20AST)", "P. George driving Layup (19 PTS) (K. Leonard 5 AST)")</f>
        <v>P. George driving Layup (19 PTS) (K. Leonard 5 AST)</v>
      </c>
      <c r="L968" s="2" t="str">
        <f>HYPERLINK("https://www.nba.com/game/...-vs-...-0042000222/play-by-play?watchFullGame=true", "LAC vs UTA - Q4 09:16.00")</f>
        <v>LAC vs UTA - Q4 09:16.00</v>
      </c>
      <c r="M968">
        <v>2.79</v>
      </c>
      <c r="N968">
        <v>92.72</v>
      </c>
      <c r="O968">
        <v>45.41</v>
      </c>
      <c r="P968">
        <v>92</v>
      </c>
      <c r="Q968">
        <v>45</v>
      </c>
      <c r="R968">
        <v>92</v>
      </c>
      <c r="S968">
        <v>45</v>
      </c>
      <c r="T968" t="s">
        <v>58</v>
      </c>
    </row>
    <row r="969" spans="1:20" x14ac:dyDescent="0.25">
      <c r="A969">
        <v>22000660</v>
      </c>
      <c r="B969" t="s">
        <v>10</v>
      </c>
      <c r="C969" t="s">
        <v>9</v>
      </c>
      <c r="D969">
        <v>96</v>
      </c>
      <c r="E969">
        <v>103</v>
      </c>
      <c r="F969">
        <v>7</v>
      </c>
      <c r="G969">
        <v>4</v>
      </c>
      <c r="H969" s="1">
        <v>4.5254629629629629E-3</v>
      </c>
      <c r="I969">
        <v>2020</v>
      </c>
      <c r="J969" t="s">
        <v>59</v>
      </c>
      <c r="K969" s="2" t="str">
        <f>HYPERLINK("https://www.nba.com/stats/events?CFID=&amp;CFPARAMS=&amp;GameEventID=532&amp;GameID=0022000660&amp;Season=2020-21&amp;flag=1&amp;title=L.%20Kennard%203PT%20%20(18%20PTS)%20(K.%20Leonard%204%20AST)", "L. Kennard 3PT  (18 PTS) (K. Leonard 4 AST)")</f>
        <v>L. Kennard 3PT  (18 PTS) (K. Leonard 4 AST)</v>
      </c>
      <c r="L969" s="2" t="str">
        <f>HYPERLINK("https://www.nba.com/game/...-vs-...-0022000660/play-by-play?watchFullGame=true", "LAC vs ATL - Q4 06:31.00")</f>
        <v>LAC vs ATL - Q4 06:31.00</v>
      </c>
      <c r="M969">
        <v>23.49</v>
      </c>
      <c r="N969">
        <v>92.82</v>
      </c>
      <c r="O969">
        <v>3.12</v>
      </c>
      <c r="P969">
        <v>-234</v>
      </c>
      <c r="Q969">
        <v>15</v>
      </c>
      <c r="R969">
        <v>92</v>
      </c>
      <c r="S969">
        <v>3</v>
      </c>
      <c r="T969" t="s">
        <v>58</v>
      </c>
    </row>
    <row r="970" spans="1:20" x14ac:dyDescent="0.25">
      <c r="A970">
        <v>22300600</v>
      </c>
      <c r="B970" t="s">
        <v>4</v>
      </c>
      <c r="C970" t="s">
        <v>64</v>
      </c>
      <c r="D970">
        <v>59</v>
      </c>
      <c r="E970">
        <v>70</v>
      </c>
      <c r="F970">
        <v>11</v>
      </c>
      <c r="G970">
        <v>3</v>
      </c>
      <c r="H970" s="1">
        <v>5.8564814814814816E-3</v>
      </c>
      <c r="I970">
        <v>2023</v>
      </c>
      <c r="J970" t="s">
        <v>59</v>
      </c>
      <c r="K970" s="2" t="str">
        <f>HYPERLINK("https://www.nba.com/stats/events?CFID=&amp;CFPARAMS=&amp;GameEventID=354&amp;GameID=0022300600&amp;Season=2023-24&amp;flag=1&amp;title=T.%20Mann%20cutting%20Layup%20(11%20PTS)%20(K.%20Leonard%202%20AST)", "T. Mann cutting Layup (11 PTS) (K. Leonard 2 AST)")</f>
        <v>T. Mann cutting Layup (11 PTS) (K. Leonard 2 AST)</v>
      </c>
      <c r="L970" s="2" t="str">
        <f>HYPERLINK("https://www.nba.com/game/...-vs-...-0022300600/play-by-play?watchFullGame=true", "LAC vs BKN - Q3 08:26.00")</f>
        <v>LAC vs BKN - Q3 08:26.00</v>
      </c>
      <c r="M970">
        <v>1.81</v>
      </c>
      <c r="N970">
        <v>92.56</v>
      </c>
      <c r="O970">
        <v>50.98</v>
      </c>
      <c r="P970">
        <v>5</v>
      </c>
      <c r="Q970">
        <v>17</v>
      </c>
      <c r="R970">
        <v>92</v>
      </c>
      <c r="S970">
        <v>50</v>
      </c>
      <c r="T970" t="s">
        <v>58</v>
      </c>
    </row>
    <row r="971" spans="1:20" x14ac:dyDescent="0.25">
      <c r="A971">
        <v>22301215</v>
      </c>
      <c r="B971" t="s">
        <v>4</v>
      </c>
      <c r="C971" t="s">
        <v>64</v>
      </c>
      <c r="D971">
        <v>4</v>
      </c>
      <c r="E971">
        <v>6</v>
      </c>
      <c r="F971">
        <v>2</v>
      </c>
      <c r="G971">
        <v>1</v>
      </c>
      <c r="H971" s="1">
        <v>7.3032407407407404E-3</v>
      </c>
      <c r="I971">
        <v>2023</v>
      </c>
      <c r="J971" t="s">
        <v>59</v>
      </c>
      <c r="K971" s="2" t="str">
        <f>HYPERLINK("https://www.nba.com/stats/events?CFID=&amp;CFPARAMS=&amp;GameEventID=16&amp;GameID=0022301215&amp;Season=2023-24&amp;flag=1&amp;title=J.%20Harden%20driving%20Layup%20(2%20PTS)%20(K.%20Leonard%201%20AST)", "J. Harden driving Layup (2 PTS) (K. Leonard 1 AST)")</f>
        <v>J. Harden driving Layup (2 PTS) (K. Leonard 1 AST)</v>
      </c>
      <c r="L971" s="2" t="str">
        <f>HYPERLINK("https://www.nba.com/game/...-vs-...-0022301215/play-by-play?watchFullGame=true", "LAC vs DEN - Q1 10:31.00")</f>
        <v>LAC vs DEN - Q1 10:31.00</v>
      </c>
      <c r="M971">
        <v>1.68</v>
      </c>
      <c r="N971">
        <v>92.95</v>
      </c>
      <c r="O971">
        <v>51.96</v>
      </c>
      <c r="P971">
        <v>10</v>
      </c>
      <c r="Q971">
        <v>14</v>
      </c>
      <c r="R971">
        <v>92</v>
      </c>
      <c r="S971">
        <v>51</v>
      </c>
      <c r="T971" t="s">
        <v>58</v>
      </c>
    </row>
    <row r="972" spans="1:20" x14ac:dyDescent="0.25">
      <c r="A972">
        <v>22400793</v>
      </c>
      <c r="B972" t="s">
        <v>4</v>
      </c>
      <c r="C972" t="s">
        <v>65</v>
      </c>
      <c r="D972">
        <v>54</v>
      </c>
      <c r="E972">
        <v>57</v>
      </c>
      <c r="F972">
        <v>3</v>
      </c>
      <c r="G972">
        <v>3</v>
      </c>
      <c r="H972" s="1">
        <v>7.8356481481481489E-3</v>
      </c>
      <c r="I972">
        <v>2024</v>
      </c>
      <c r="J972" t="s">
        <v>59</v>
      </c>
      <c r="K972" s="2" t="str">
        <f>HYPERLINK("https://www.nba.com/stats/events?CFID=&amp;CFPARAMS=&amp;GameEventID=307&amp;GameID=0022400793&amp;Season=2024-25&amp;flag=1&amp;title=A.%20Coffey%20running%20DUNK%20(6%20PTS)%20(K.%20Leonard%203%20AST)", "A. Coffey running DUNK (6 PTS) (K. Leonard 3 AST)")</f>
        <v>A. Coffey running DUNK (6 PTS) (K. Leonard 3 AST)</v>
      </c>
      <c r="L972" s="2" t="str">
        <f>HYPERLINK("https://www.nba.com/game/...-vs-...-0022400793/play-by-play?watchFullGame=true", "LAC vs MIL - Q3 11:17.00")</f>
        <v>LAC vs MIL - Q3 11:17.00</v>
      </c>
      <c r="M972">
        <v>1.61</v>
      </c>
      <c r="N972">
        <v>92.72</v>
      </c>
      <c r="O972">
        <v>50.49</v>
      </c>
      <c r="P972">
        <v>2</v>
      </c>
      <c r="Q972">
        <v>16</v>
      </c>
      <c r="R972">
        <v>92</v>
      </c>
      <c r="S972">
        <v>50</v>
      </c>
      <c r="T972" t="s">
        <v>58</v>
      </c>
    </row>
    <row r="973" spans="1:20" x14ac:dyDescent="0.25">
      <c r="A973">
        <v>21900002</v>
      </c>
      <c r="B973" t="s">
        <v>4</v>
      </c>
      <c r="C973" t="s">
        <v>65</v>
      </c>
      <c r="D973">
        <v>6</v>
      </c>
      <c r="E973">
        <v>13</v>
      </c>
      <c r="F973">
        <v>7</v>
      </c>
      <c r="G973">
        <v>1</v>
      </c>
      <c r="H973" s="1">
        <v>5.0694444444444441E-3</v>
      </c>
      <c r="I973">
        <v>2019</v>
      </c>
      <c r="J973" t="s">
        <v>59</v>
      </c>
      <c r="K973" s="2" t="str">
        <f>HYPERLINK("https://www.nba.com/stats/events?CFID=&amp;CFPARAMS=&amp;GameEventID=57&amp;GameID=0021900002&amp;Season=2019-20&amp;flag=1&amp;title=M.%20Harrell%20cutting%20DUNK%20(4%20PTS)%20(K.%20Leonard%201%20AST)", "M. Harrell cutting DUNK (4 PTS) (K. Leonard 1 AST)")</f>
        <v>M. Harrell cutting DUNK (4 PTS) (K. Leonard 1 AST)</v>
      </c>
      <c r="L973" s="2" t="str">
        <f>HYPERLINK("https://www.nba.com/game/...-vs-...-0021900002/play-by-play?watchFullGame=true", "LAC vs LAL - Q1 07:18.00")</f>
        <v>LAC vs LAL - Q1 07:18.00</v>
      </c>
      <c r="M973">
        <v>1.37</v>
      </c>
      <c r="N973">
        <v>93.74</v>
      </c>
      <c r="O973">
        <v>51.4</v>
      </c>
      <c r="P973">
        <v>7</v>
      </c>
      <c r="Q973">
        <v>6</v>
      </c>
      <c r="R973">
        <v>93</v>
      </c>
      <c r="S973">
        <v>51</v>
      </c>
      <c r="T973" t="s">
        <v>58</v>
      </c>
    </row>
    <row r="974" spans="1:20" x14ac:dyDescent="0.25">
      <c r="A974">
        <v>21900051</v>
      </c>
      <c r="B974" t="s">
        <v>4</v>
      </c>
      <c r="C974" t="s">
        <v>69</v>
      </c>
      <c r="D974">
        <v>51</v>
      </c>
      <c r="E974">
        <v>50</v>
      </c>
      <c r="F974">
        <v>1</v>
      </c>
      <c r="G974">
        <v>2</v>
      </c>
      <c r="H974" s="1">
        <v>1.712962962962963E-3</v>
      </c>
      <c r="I974">
        <v>2019</v>
      </c>
      <c r="J974" t="s">
        <v>59</v>
      </c>
      <c r="K974" s="2" t="str">
        <f>HYPERLINK("https://www.nba.com/stats/events?CFID=&amp;CFPARAMS=&amp;GameEventID=291&amp;GameID=0021900051&amp;Season=2019-20&amp;flag=1&amp;title=[LAC]%20Shamet%20layup:%20Made%20(16%20PTS)%20assist:%20Leonard%20(4%20AST)", "[LAC] Shamet layup: Made (16 PTS) assist: Leonard (4 AST)")</f>
        <v>[LAC] Shamet layup: Made (16 PTS) assist: Leonard (4 AST)</v>
      </c>
      <c r="L974" s="2" t="str">
        <f>HYPERLINK("https://www.nba.com/game/...-vs-...-0021900051/play-by-play?watchFullGame=true", "LAC vs CHA - Q2 02:28.00")</f>
        <v>LAC vs CHA - Q2 02:28.00</v>
      </c>
      <c r="M974">
        <v>1.32</v>
      </c>
      <c r="N974">
        <v>93.61</v>
      </c>
      <c r="O974">
        <v>49.69</v>
      </c>
      <c r="P974">
        <v>-2</v>
      </c>
      <c r="Q974">
        <v>8</v>
      </c>
      <c r="R974">
        <v>93</v>
      </c>
      <c r="S974">
        <v>49</v>
      </c>
      <c r="T974" t="s">
        <v>58</v>
      </c>
    </row>
    <row r="975" spans="1:20" x14ac:dyDescent="0.25">
      <c r="A975">
        <v>22000308</v>
      </c>
      <c r="B975" t="s">
        <v>4</v>
      </c>
      <c r="C975" t="s">
        <v>64</v>
      </c>
      <c r="D975">
        <v>77</v>
      </c>
      <c r="E975">
        <v>72</v>
      </c>
      <c r="F975">
        <v>5</v>
      </c>
      <c r="G975">
        <v>3</v>
      </c>
      <c r="H975" s="1">
        <v>5.7060185185185183E-3</v>
      </c>
      <c r="I975">
        <v>2020</v>
      </c>
      <c r="J975" t="s">
        <v>59</v>
      </c>
      <c r="K975" s="2" t="str">
        <f>HYPERLINK("https://www.nba.com/stats/events?CFID=&amp;CFPARAMS=&amp;GameEventID=345&amp;GameID=0022000308&amp;Season=2020-21&amp;flag=1&amp;title=R.%20Jackson%20driving%20finger%20roll%20Layup%20(10%20PTS)%20(K.%20Leonard%202%20AST)", "R. Jackson driving finger roll Layup (10 PTS) (K. Leonard 2 AST)")</f>
        <v>R. Jackson driving finger roll Layup (10 PTS) (K. Leonard 2 AST)</v>
      </c>
      <c r="L975" s="2" t="str">
        <f>HYPERLINK("https://www.nba.com/game/...-vs-...-0022000308/play-by-play?watchFullGame=true", "LAC vs NYK - Q3 08:13.00")</f>
        <v>LAC vs NYK - Q3 08:13.00</v>
      </c>
      <c r="M975">
        <v>3.18</v>
      </c>
      <c r="N975">
        <v>93.64</v>
      </c>
      <c r="O975">
        <v>56.2</v>
      </c>
      <c r="P975">
        <v>31</v>
      </c>
      <c r="Q975">
        <v>7</v>
      </c>
      <c r="R975">
        <v>93</v>
      </c>
      <c r="S975">
        <v>56</v>
      </c>
      <c r="T975" t="s">
        <v>58</v>
      </c>
    </row>
    <row r="976" spans="1:20" x14ac:dyDescent="0.25">
      <c r="A976">
        <v>21901232</v>
      </c>
      <c r="B976" t="s">
        <v>4</v>
      </c>
      <c r="C976" t="s">
        <v>69</v>
      </c>
      <c r="D976">
        <v>95</v>
      </c>
      <c r="E976">
        <v>99</v>
      </c>
      <c r="F976">
        <v>4</v>
      </c>
      <c r="G976">
        <v>4</v>
      </c>
      <c r="H976" s="1">
        <v>1.4930555555555556E-3</v>
      </c>
      <c r="I976">
        <v>2019</v>
      </c>
      <c r="J976" t="s">
        <v>59</v>
      </c>
      <c r="K976" s="2" t="str">
        <f>HYPERLINK("https://www.nba.com/stats/events?CFID=&amp;CFPARAMS=&amp;GameEventID=693&amp;GameID=0021901232&amp;Season=2019-20&amp;flag=1&amp;title=P.%20George%20layup%20(24%20PTS)%20(K.%20Leonard%203%20AST)", "P. George layup (24 PTS) (K. Leonard 3 AST)")</f>
        <v>P. George layup (24 PTS) (K. Leonard 3 AST)</v>
      </c>
      <c r="L976" s="2" t="str">
        <f>HYPERLINK("https://www.nba.com/game/...-vs-...-0021901232/play-by-play?watchFullGame=true", "LAC vs LAL - Q4 02:09.00")</f>
        <v>LAC vs LAL - Q4 02:09.00</v>
      </c>
      <c r="M976">
        <v>2.27</v>
      </c>
      <c r="N976">
        <v>93.38</v>
      </c>
      <c r="O976">
        <v>46.64</v>
      </c>
      <c r="P976">
        <v>-17</v>
      </c>
      <c r="Q976">
        <v>10</v>
      </c>
      <c r="R976">
        <v>93</v>
      </c>
      <c r="S976">
        <v>46</v>
      </c>
      <c r="T976" t="s">
        <v>58</v>
      </c>
    </row>
    <row r="977" spans="1:20" x14ac:dyDescent="0.25">
      <c r="A977">
        <v>21900051</v>
      </c>
      <c r="B977" t="s">
        <v>4</v>
      </c>
      <c r="C977" t="s">
        <v>69</v>
      </c>
      <c r="D977">
        <v>56</v>
      </c>
      <c r="E977">
        <v>52</v>
      </c>
      <c r="F977">
        <v>4</v>
      </c>
      <c r="G977">
        <v>2</v>
      </c>
      <c r="H977" s="1">
        <v>5.4861111111111104E-4</v>
      </c>
      <c r="I977">
        <v>2019</v>
      </c>
      <c r="J977" t="s">
        <v>59</v>
      </c>
      <c r="K977" s="2" t="str">
        <f>HYPERLINK("https://www.nba.com/stats/events?CFID=&amp;CFPARAMS=&amp;GameEventID=310&amp;GameID=0021900051&amp;Season=2019-20&amp;flag=1&amp;title=[LAC]%20Zubac%20layup:%20Made%20(6%20PTS)%20assist:%20Leonard%20(5%20AST)", "[LAC] Zubac layup: Made (6 PTS) assist: Leonard (5 AST)")</f>
        <v>[LAC] Zubac layup: Made (6 PTS) assist: Leonard (5 AST)</v>
      </c>
      <c r="L977" s="2" t="str">
        <f>HYPERLINK("https://www.nba.com/game/...-vs-...-0021900051/play-by-play?watchFullGame=true", "LAC vs CHA - Q2 00:47.40")</f>
        <v>LAC vs CHA - Q2 00:47.40</v>
      </c>
      <c r="M977">
        <v>2.12</v>
      </c>
      <c r="N977">
        <v>93.48</v>
      </c>
      <c r="O977">
        <v>53.12</v>
      </c>
      <c r="P977">
        <v>16</v>
      </c>
      <c r="Q977">
        <v>9</v>
      </c>
      <c r="R977">
        <v>93</v>
      </c>
      <c r="S977">
        <v>53</v>
      </c>
      <c r="T977" t="s">
        <v>58</v>
      </c>
    </row>
    <row r="978" spans="1:20" x14ac:dyDescent="0.25">
      <c r="A978">
        <v>21900145</v>
      </c>
      <c r="B978" t="s">
        <v>4</v>
      </c>
      <c r="C978" t="s">
        <v>63</v>
      </c>
      <c r="D978">
        <v>31</v>
      </c>
      <c r="E978">
        <v>35</v>
      </c>
      <c r="F978">
        <v>4</v>
      </c>
      <c r="G978">
        <v>2</v>
      </c>
      <c r="H978" s="1">
        <v>4.5833333333333334E-3</v>
      </c>
      <c r="I978">
        <v>2019</v>
      </c>
      <c r="J978" t="s">
        <v>59</v>
      </c>
      <c r="K978" s="2" t="str">
        <f>HYPERLINK("https://www.nba.com/stats/events?CFID=&amp;CFPARAMS=&amp;GameEventID=230&amp;GameID=0021900145&amp;Season=2019-20&amp;flag=1&amp;title=[LAC]%20Harkless%20dunk:%20Made%20(4%20PTS)%20assist:%20Leonard%20(4%20AST)", "[LAC] Harkless dunk: Made (4 PTS) assist: Leonard (4 AST)")</f>
        <v>[LAC] Harkless dunk: Made (4 PTS) assist: Leonard (4 AST)</v>
      </c>
      <c r="L978" s="2" t="str">
        <f>HYPERLINK("https://www.nba.com/game/...-vs-...-0021900145/play-by-play?watchFullGame=true", "LAC vs TOR - Q2 06:36.00")</f>
        <v>LAC vs TOR - Q2 06:36.00</v>
      </c>
      <c r="M978">
        <v>1.43</v>
      </c>
      <c r="N978">
        <v>93.48</v>
      </c>
      <c r="O978">
        <v>50.18</v>
      </c>
      <c r="P978">
        <v>1</v>
      </c>
      <c r="Q978">
        <v>9</v>
      </c>
      <c r="R978">
        <v>93</v>
      </c>
      <c r="S978">
        <v>50</v>
      </c>
      <c r="T978" t="s">
        <v>58</v>
      </c>
    </row>
    <row r="979" spans="1:20" x14ac:dyDescent="0.25">
      <c r="A979">
        <v>22000756</v>
      </c>
      <c r="B979" t="s">
        <v>4</v>
      </c>
      <c r="C979" t="s">
        <v>64</v>
      </c>
      <c r="D979">
        <v>22</v>
      </c>
      <c r="E979">
        <v>11</v>
      </c>
      <c r="F979">
        <v>11</v>
      </c>
      <c r="G979">
        <v>1</v>
      </c>
      <c r="H979" s="1">
        <v>3.9467592592592592E-3</v>
      </c>
      <c r="I979">
        <v>2020</v>
      </c>
      <c r="J979" t="s">
        <v>59</v>
      </c>
      <c r="K979" s="2" t="str">
        <f>HYPERLINK("https://www.nba.com/stats/events?CFID=&amp;CFPARAMS=&amp;GameEventID=64&amp;GameID=0022000756&amp;Season=2020-21&amp;flag=1&amp;title=M.%20Morris%20Sr.%20reverse%20Layup%20(11%20PTS)%20(K.%20Leonard%202%20AST)", "M. Morris Sr. reverse Layup (11 PTS) (K. Leonard 2 AST)")</f>
        <v>M. Morris Sr. reverse Layup (11 PTS) (K. Leonard 2 AST)</v>
      </c>
      <c r="L979" s="2" t="str">
        <f>HYPERLINK("https://www.nba.com/game/...-vs-...-0022000756/play-by-play?watchFullGame=true", "LAC vs LAL - Q1 05:41.00")</f>
        <v>LAC vs LAL - Q1 05:41.00</v>
      </c>
      <c r="M979">
        <v>1.1100000000000001</v>
      </c>
      <c r="N979">
        <v>93.25</v>
      </c>
      <c r="O979">
        <v>50.31</v>
      </c>
      <c r="P979">
        <v>2</v>
      </c>
      <c r="Q979">
        <v>11</v>
      </c>
      <c r="R979">
        <v>93</v>
      </c>
      <c r="S979">
        <v>50</v>
      </c>
      <c r="T979" t="s">
        <v>58</v>
      </c>
    </row>
    <row r="980" spans="1:20" x14ac:dyDescent="0.25">
      <c r="A980">
        <v>22200408</v>
      </c>
      <c r="B980" t="s">
        <v>10</v>
      </c>
      <c r="C980" t="s">
        <v>9</v>
      </c>
      <c r="D980">
        <v>11</v>
      </c>
      <c r="E980">
        <v>13</v>
      </c>
      <c r="F980">
        <v>2</v>
      </c>
      <c r="G980">
        <v>1</v>
      </c>
      <c r="H980" s="1">
        <v>5.4398148148148149E-3</v>
      </c>
      <c r="I980">
        <v>2022</v>
      </c>
      <c r="J980" t="s">
        <v>59</v>
      </c>
      <c r="K980" s="2" t="str">
        <f>HYPERLINK("https://www.nba.com/stats/events?CFID=&amp;CFPARAMS=&amp;GameEventID=54&amp;GameID=0022200408&amp;Season=2022-23&amp;flag=1&amp;title=R.%20Jackson%203PT%20%20(5%20PTS)%20(K.%20Leonard%203%20AST)", "R. Jackson 3PT  (5 PTS) (K. Leonard 3 AST)")</f>
        <v>R. Jackson 3PT  (5 PTS) (K. Leonard 3 AST)</v>
      </c>
      <c r="L980" s="2" t="str">
        <f>HYPERLINK("https://www.nba.com/game/...-vs-...-0022200408/play-by-play?watchFullGame=true", "LAC vs BOS - Q1 07:50.00")</f>
        <v>LAC vs BOS - Q1 07:50.00</v>
      </c>
      <c r="M980">
        <v>23.17</v>
      </c>
      <c r="N980">
        <v>93.87</v>
      </c>
      <c r="O980">
        <v>96.32</v>
      </c>
      <c r="P980">
        <v>232</v>
      </c>
      <c r="Q980">
        <v>5</v>
      </c>
      <c r="R980">
        <v>93</v>
      </c>
      <c r="S980">
        <v>96</v>
      </c>
      <c r="T980" t="s">
        <v>58</v>
      </c>
    </row>
    <row r="981" spans="1:20" x14ac:dyDescent="0.25">
      <c r="A981">
        <v>22000989</v>
      </c>
      <c r="B981" t="s">
        <v>10</v>
      </c>
      <c r="C981" t="s">
        <v>9</v>
      </c>
      <c r="D981">
        <v>15</v>
      </c>
      <c r="E981">
        <v>15</v>
      </c>
      <c r="F981">
        <v>0</v>
      </c>
      <c r="G981">
        <v>1</v>
      </c>
      <c r="H981" s="1">
        <v>4.31712962962963E-3</v>
      </c>
      <c r="I981">
        <v>2020</v>
      </c>
      <c r="J981" t="s">
        <v>59</v>
      </c>
      <c r="K981" s="2" t="str">
        <f>HYPERLINK("https://www.nba.com/stats/events?CFID=&amp;CFPARAMS=&amp;GameEventID=54&amp;GameID=0022000989&amp;Season=2020-21&amp;flag=1&amp;title=R.%20Jackson%203PT%20%20(3%20PTS)%20(K.%20Leonard%201%20AST)", "R. Jackson 3PT  (3 PTS) (K. Leonard 1 AST)")</f>
        <v>R. Jackson 3PT  (3 PTS) (K. Leonard 1 AST)</v>
      </c>
      <c r="L981" s="2" t="str">
        <f>HYPERLINK("https://www.nba.com/game/...-vs-...-0022000989/play-by-play?watchFullGame=true", "LAC vs TOR - Q1 06:13.00")</f>
        <v>LAC vs TOR - Q1 06:13.00</v>
      </c>
      <c r="M981">
        <v>23.21</v>
      </c>
      <c r="N981">
        <v>93.77</v>
      </c>
      <c r="O981">
        <v>96.39</v>
      </c>
      <c r="P981">
        <v>232</v>
      </c>
      <c r="Q981">
        <v>6</v>
      </c>
      <c r="R981">
        <v>93</v>
      </c>
      <c r="S981">
        <v>96</v>
      </c>
      <c r="T981" t="s">
        <v>58</v>
      </c>
    </row>
    <row r="982" spans="1:20" x14ac:dyDescent="0.25">
      <c r="A982">
        <v>22001034</v>
      </c>
      <c r="B982" t="s">
        <v>4</v>
      </c>
      <c r="C982" t="s">
        <v>64</v>
      </c>
      <c r="D982">
        <v>72</v>
      </c>
      <c r="E982">
        <v>57</v>
      </c>
      <c r="F982">
        <v>15</v>
      </c>
      <c r="G982">
        <v>3</v>
      </c>
      <c r="H982" s="1">
        <v>4.0625000000000001E-3</v>
      </c>
      <c r="I982">
        <v>2020</v>
      </c>
      <c r="J982" t="s">
        <v>59</v>
      </c>
      <c r="K982" s="2" t="str">
        <f>HYPERLINK("https://www.nba.com/stats/events?CFID=&amp;CFPARAMS=&amp;GameEventID=403&amp;GameID=0022001034&amp;Season=2020-21&amp;flag=1&amp;title=P.%20George%20running%20Layup%20(8%20PTS)%20(K.%20Leonard%204%20AST)", "P. George running Layup (8 PTS) (K. Leonard 4 AST)")</f>
        <v>P. George running Layup (8 PTS) (K. Leonard 4 AST)</v>
      </c>
      <c r="L982" s="2" t="str">
        <f>HYPERLINK("https://www.nba.com/game/...-vs-...-0022001034/play-by-play?watchFullGame=true", "LAC vs TOR - Q3 05:51.00")</f>
        <v>LAC vs TOR - Q3 05:51.00</v>
      </c>
      <c r="M982">
        <v>4.3099999999999996</v>
      </c>
      <c r="N982">
        <v>93.38</v>
      </c>
      <c r="O982">
        <v>58.4</v>
      </c>
      <c r="P982">
        <v>42</v>
      </c>
      <c r="Q982">
        <v>10</v>
      </c>
      <c r="R982">
        <v>93</v>
      </c>
      <c r="S982">
        <v>58</v>
      </c>
      <c r="T982" t="s">
        <v>58</v>
      </c>
    </row>
    <row r="983" spans="1:20" x14ac:dyDescent="0.25">
      <c r="A983">
        <v>22201215</v>
      </c>
      <c r="B983" t="s">
        <v>4</v>
      </c>
      <c r="C983" t="s">
        <v>64</v>
      </c>
      <c r="D983">
        <v>6</v>
      </c>
      <c r="E983">
        <v>4</v>
      </c>
      <c r="F983">
        <v>2</v>
      </c>
      <c r="G983">
        <v>1</v>
      </c>
      <c r="H983" s="1">
        <v>6.099537037037037E-3</v>
      </c>
      <c r="I983">
        <v>2022</v>
      </c>
      <c r="J983" t="s">
        <v>59</v>
      </c>
      <c r="K983" s="2" t="str">
        <f>HYPERLINK("https://www.nba.com/stats/events?CFID=&amp;CFPARAMS=&amp;GameEventID=31&amp;GameID=0022201215&amp;Season=2022-23&amp;flag=1&amp;title=R.%20Westbrook%20cutting%20Layup%20(2%20PTS)%20(K.%20Leonard%202%20AST)", "R. Westbrook cutting Layup (2 PTS) (K. Leonard 2 AST)")</f>
        <v>R. Westbrook cutting Layup (2 PTS) (K. Leonard 2 AST)</v>
      </c>
      <c r="L983" s="2" t="str">
        <f>HYPERLINK("https://www.nba.com/game/...-vs-...-0022201215/play-by-play?watchFullGame=true", "LAC vs POR - Q1 08:47.00")</f>
        <v>LAC vs POR - Q1 08:47.00</v>
      </c>
      <c r="M983">
        <v>2.04</v>
      </c>
      <c r="N983">
        <v>93.48</v>
      </c>
      <c r="O983">
        <v>53.68</v>
      </c>
      <c r="P983">
        <v>18</v>
      </c>
      <c r="Q983">
        <v>9</v>
      </c>
      <c r="R983">
        <v>93</v>
      </c>
      <c r="S983">
        <v>53</v>
      </c>
      <c r="T983" t="s">
        <v>58</v>
      </c>
    </row>
    <row r="984" spans="1:20" x14ac:dyDescent="0.25">
      <c r="A984">
        <v>22300343</v>
      </c>
      <c r="B984" t="s">
        <v>4</v>
      </c>
      <c r="C984" t="s">
        <v>64</v>
      </c>
      <c r="D984">
        <v>26</v>
      </c>
      <c r="E984">
        <v>21</v>
      </c>
      <c r="F984">
        <v>5</v>
      </c>
      <c r="G984">
        <v>1</v>
      </c>
      <c r="H984" s="1">
        <v>2.8935185185185184E-3</v>
      </c>
      <c r="I984">
        <v>2023</v>
      </c>
      <c r="J984" t="s">
        <v>59</v>
      </c>
      <c r="K984" s="2" t="str">
        <f>HYPERLINK("https://www.nba.com/stats/events?CFID=&amp;CFPARAMS=&amp;GameEventID=104&amp;GameID=0022300343&amp;Season=2023-24&amp;flag=1&amp;title=N.%20Powell%20driving%20finger%20roll%20Layup%20(4%20PTS)%20(K.%20Leonard%202%20AST)", "N. Powell driving finger roll Layup (4 PTS) (K. Leonard 2 AST)")</f>
        <v>N. Powell driving finger roll Layup (4 PTS) (K. Leonard 2 AST)</v>
      </c>
      <c r="L984" s="2" t="str">
        <f>HYPERLINK("https://www.nba.com/game/...-vs-...-0022300343/play-by-play?watchFullGame=true", "LAC vs NYK - Q1 04:10.00")</f>
        <v>LAC vs NYK - Q1 04:10.00</v>
      </c>
      <c r="M984">
        <v>1.67</v>
      </c>
      <c r="N984">
        <v>93.22</v>
      </c>
      <c r="O984">
        <v>47.55</v>
      </c>
      <c r="P984">
        <v>-12</v>
      </c>
      <c r="Q984">
        <v>11</v>
      </c>
      <c r="R984">
        <v>93</v>
      </c>
      <c r="S984">
        <v>47</v>
      </c>
      <c r="T984" t="s">
        <v>58</v>
      </c>
    </row>
    <row r="985" spans="1:20" x14ac:dyDescent="0.25">
      <c r="A985">
        <v>22300708</v>
      </c>
      <c r="B985" t="s">
        <v>4</v>
      </c>
      <c r="C985" t="s">
        <v>64</v>
      </c>
      <c r="D985">
        <v>57</v>
      </c>
      <c r="E985">
        <v>51</v>
      </c>
      <c r="F985">
        <v>6</v>
      </c>
      <c r="G985">
        <v>3</v>
      </c>
      <c r="H985" s="1">
        <v>4.9305555555555552E-3</v>
      </c>
      <c r="I985">
        <v>2023</v>
      </c>
      <c r="J985" t="s">
        <v>59</v>
      </c>
      <c r="K985" s="2" t="str">
        <f>HYPERLINK("https://www.nba.com/stats/events?CFID=&amp;CFPARAMS=&amp;GameEventID=315&amp;GameID=0022300708&amp;Season=2023-24&amp;flag=1&amp;title=I.%20Zubac%206'%20Layup%20(4%20PTS)%20(K.%20Leonard%203%20AST)", "I. Zubac 6' Layup (4 PTS) (K. Leonard 3 AST)")</f>
        <v>I. Zubac 6' Layup (4 PTS) (K. Leonard 3 AST)</v>
      </c>
      <c r="L985" s="2" t="str">
        <f>HYPERLINK("https://www.nba.com/game/...-vs-...-0022300708/play-by-play?watchFullGame=true", "LAC vs MIA - Q3 07:06.00")</f>
        <v>LAC vs MIA - Q3 07:06.00</v>
      </c>
      <c r="M985">
        <v>6.23</v>
      </c>
      <c r="N985">
        <v>93.25</v>
      </c>
      <c r="O985">
        <v>37.75</v>
      </c>
      <c r="P985">
        <v>-61</v>
      </c>
      <c r="Q985">
        <v>11</v>
      </c>
      <c r="R985">
        <v>93</v>
      </c>
      <c r="S985">
        <v>37</v>
      </c>
      <c r="T985" t="s">
        <v>58</v>
      </c>
    </row>
    <row r="986" spans="1:20" x14ac:dyDescent="0.25">
      <c r="A986">
        <v>21900157</v>
      </c>
      <c r="B986" t="s">
        <v>4</v>
      </c>
      <c r="C986" t="s">
        <v>69</v>
      </c>
      <c r="D986">
        <v>24</v>
      </c>
      <c r="E986">
        <v>36</v>
      </c>
      <c r="F986">
        <v>12</v>
      </c>
      <c r="G986">
        <v>2</v>
      </c>
      <c r="H986" s="1">
        <v>5.8333333333333336E-3</v>
      </c>
      <c r="I986">
        <v>2019</v>
      </c>
      <c r="J986" t="s">
        <v>59</v>
      </c>
      <c r="K986" s="2" t="str">
        <f>HYPERLINK("https://www.nba.com/stats/events?CFID=&amp;CFPARAMS=&amp;GameEventID=235&amp;GameID=0021900157&amp;Season=2019-20&amp;flag=1&amp;title=M.%20Harrell%20layup%20(2%20PTS)%20(K.%20Leonard%202%20AST)", "M. Harrell layup (2 PTS) (K. Leonard 2 AST)")</f>
        <v>M. Harrell layup (2 PTS) (K. Leonard 2 AST)</v>
      </c>
      <c r="L986" s="2" t="str">
        <f>HYPERLINK("https://www.nba.com/game/...-vs-...-0021900157/play-by-play?watchFullGame=true", "LAC vs HOU - Q2 08:24.00")</f>
        <v>LAC vs HOU - Q2 08:24.00</v>
      </c>
      <c r="M986">
        <v>2.59</v>
      </c>
      <c r="N986">
        <v>93.87</v>
      </c>
      <c r="O986">
        <v>45.27</v>
      </c>
      <c r="P986">
        <v>-24</v>
      </c>
      <c r="Q986">
        <v>5</v>
      </c>
      <c r="R986">
        <v>93</v>
      </c>
      <c r="S986">
        <v>45</v>
      </c>
      <c r="T986" t="s">
        <v>58</v>
      </c>
    </row>
    <row r="987" spans="1:20" x14ac:dyDescent="0.25">
      <c r="A987">
        <v>21900499</v>
      </c>
      <c r="B987" t="s">
        <v>4</v>
      </c>
      <c r="C987" t="s">
        <v>63</v>
      </c>
      <c r="D987">
        <v>14</v>
      </c>
      <c r="E987">
        <v>11</v>
      </c>
      <c r="F987">
        <v>3</v>
      </c>
      <c r="G987">
        <v>1</v>
      </c>
      <c r="H987" s="1">
        <v>3.1481481481481482E-3</v>
      </c>
      <c r="I987">
        <v>2019</v>
      </c>
      <c r="J987" t="s">
        <v>59</v>
      </c>
      <c r="K987" s="2" t="str">
        <f>HYPERLINK("https://www.nba.com/stats/events?CFID=&amp;CFPARAMS=&amp;GameEventID=94&amp;GameID=0021900499&amp;Season=2019-20&amp;flag=1&amp;title=I.%20Zubac%20dunk%20(4%20PTS)%20(K.%20Leonard%201%20AST)", "I. Zubac dunk (4 PTS) (K. Leonard 1 AST)")</f>
        <v>I. Zubac dunk (4 PTS) (K. Leonard 1 AST)</v>
      </c>
      <c r="L987" s="2" t="str">
        <f>HYPERLINK("https://www.nba.com/game/...-vs-...-0021900499/play-by-play?watchFullGame=true", "LAC vs SAC - Q1 04:32.00")</f>
        <v>LAC vs SAC - Q1 04:32.00</v>
      </c>
      <c r="M987">
        <v>1.65</v>
      </c>
      <c r="N987">
        <v>93.25</v>
      </c>
      <c r="O987">
        <v>49.82</v>
      </c>
      <c r="P987">
        <v>-1</v>
      </c>
      <c r="Q987">
        <v>11</v>
      </c>
      <c r="R987">
        <v>93</v>
      </c>
      <c r="S987">
        <v>49</v>
      </c>
      <c r="T987" t="s">
        <v>58</v>
      </c>
    </row>
    <row r="988" spans="1:20" x14ac:dyDescent="0.25">
      <c r="A988">
        <v>21901232</v>
      </c>
      <c r="B988" t="s">
        <v>4</v>
      </c>
      <c r="C988" t="s">
        <v>63</v>
      </c>
      <c r="D988">
        <v>63</v>
      </c>
      <c r="E988">
        <v>55</v>
      </c>
      <c r="F988">
        <v>8</v>
      </c>
      <c r="G988">
        <v>3</v>
      </c>
      <c r="H988" s="1">
        <v>5.347222222222222E-3</v>
      </c>
      <c r="I988">
        <v>2019</v>
      </c>
      <c r="J988" t="s">
        <v>59</v>
      </c>
      <c r="K988" s="2" t="str">
        <f>HYPERLINK("https://www.nba.com/stats/events?CFID=&amp;CFPARAMS=&amp;GameEventID=464&amp;GameID=0021901232&amp;Season=2019-20&amp;flag=1&amp;title=I.%20Zubac%20dunk%20(2%20PTS)%20(K.%20Leonard%202%20AST)", "I. Zubac dunk (2 PTS) (K. Leonard 2 AST)")</f>
        <v>I. Zubac dunk (2 PTS) (K. Leonard 2 AST)</v>
      </c>
      <c r="L988" s="2" t="str">
        <f>HYPERLINK("https://www.nba.com/game/...-vs-...-0021901232/play-by-play?watchFullGame=true", "LAC vs LAL - Q3 07:42.00")</f>
        <v>LAC vs LAL - Q3 07:42.00</v>
      </c>
      <c r="M988">
        <v>1.77</v>
      </c>
      <c r="N988">
        <v>93.91</v>
      </c>
      <c r="O988">
        <v>47.13</v>
      </c>
      <c r="P988">
        <v>-14</v>
      </c>
      <c r="Q988">
        <v>5</v>
      </c>
      <c r="R988">
        <v>93</v>
      </c>
      <c r="S988">
        <v>47</v>
      </c>
      <c r="T988" t="s">
        <v>58</v>
      </c>
    </row>
    <row r="989" spans="1:20" x14ac:dyDescent="0.25">
      <c r="A989">
        <v>21900436</v>
      </c>
      <c r="B989" t="s">
        <v>4</v>
      </c>
      <c r="C989" t="s">
        <v>63</v>
      </c>
      <c r="D989">
        <v>98</v>
      </c>
      <c r="E989">
        <v>75</v>
      </c>
      <c r="F989">
        <v>23</v>
      </c>
      <c r="G989">
        <v>3</v>
      </c>
      <c r="H989" s="1">
        <v>3.1018518518518517E-3</v>
      </c>
      <c r="I989">
        <v>2019</v>
      </c>
      <c r="J989" t="s">
        <v>59</v>
      </c>
      <c r="K989" s="2" t="str">
        <f>HYPERLINK("https://www.nba.com/stats/events?CFID=&amp;CFPARAMS=&amp;GameEventID=433&amp;GameID=0021900436&amp;Season=2019-20&amp;flag=1&amp;title=M.%20Harkless%20dunk%20(15%20PTS)%20(K.%20Leonard%208%20AST)", "M. Harkless dunk (15 PTS) (K. Leonard 8 AST)")</f>
        <v>M. Harkless dunk (15 PTS) (K. Leonard 8 AST)</v>
      </c>
      <c r="L989" s="2" t="str">
        <f>HYPERLINK("https://www.nba.com/game/...-vs-...-0021900436/play-by-play?watchFullGame=true", "LAC vs SAS - Q3 04:28.00")</f>
        <v>LAC vs SAS - Q3 04:28.00</v>
      </c>
      <c r="M989">
        <v>1.1000000000000001</v>
      </c>
      <c r="N989">
        <v>93.91</v>
      </c>
      <c r="O989">
        <v>50.8</v>
      </c>
      <c r="P989">
        <v>4</v>
      </c>
      <c r="Q989">
        <v>5</v>
      </c>
      <c r="R989">
        <v>93</v>
      </c>
      <c r="S989">
        <v>50</v>
      </c>
      <c r="T989" t="s">
        <v>58</v>
      </c>
    </row>
    <row r="990" spans="1:20" x14ac:dyDescent="0.25">
      <c r="A990">
        <v>21900251</v>
      </c>
      <c r="B990" t="s">
        <v>4</v>
      </c>
      <c r="C990" t="s">
        <v>69</v>
      </c>
      <c r="D990">
        <v>64</v>
      </c>
      <c r="E990">
        <v>49</v>
      </c>
      <c r="F990">
        <v>15</v>
      </c>
      <c r="G990">
        <v>3</v>
      </c>
      <c r="H990" s="1">
        <v>7.6851851851851855E-3</v>
      </c>
      <c r="I990">
        <v>2019</v>
      </c>
      <c r="J990" t="s">
        <v>59</v>
      </c>
      <c r="K990" s="2" t="str">
        <f>HYPERLINK("https://www.nba.com/stats/events?CFID=&amp;CFPARAMS=&amp;GameEventID=375&amp;GameID=0021900251&amp;Season=2019-20&amp;flag=1&amp;title=I.%20Zubac%20layup%20(8%20PTS)%20(K.%20Leonard%203%20AST)", "I. Zubac layup (8 PTS) (K. Leonard 3 AST)")</f>
        <v>I. Zubac layup (8 PTS) (K. Leonard 3 AST)</v>
      </c>
      <c r="L990" s="2" t="str">
        <f>HYPERLINK("https://www.nba.com/game/...-vs-...-0021900251/play-by-play?watchFullGame=true", "LAC vs DAL - Q3 11:04.00")</f>
        <v>LAC vs DAL - Q3 11:04.00</v>
      </c>
      <c r="M990">
        <v>1.93</v>
      </c>
      <c r="N990">
        <v>93.12</v>
      </c>
      <c r="O990">
        <v>51.54</v>
      </c>
      <c r="P990">
        <v>8</v>
      </c>
      <c r="Q990">
        <v>12</v>
      </c>
      <c r="R990">
        <v>93</v>
      </c>
      <c r="S990">
        <v>51</v>
      </c>
      <c r="T990" t="s">
        <v>58</v>
      </c>
    </row>
    <row r="991" spans="1:20" x14ac:dyDescent="0.25">
      <c r="A991">
        <v>21900458</v>
      </c>
      <c r="B991" t="s">
        <v>4</v>
      </c>
      <c r="C991" t="s">
        <v>69</v>
      </c>
      <c r="D991">
        <v>64</v>
      </c>
      <c r="E991">
        <v>71</v>
      </c>
      <c r="F991">
        <v>7</v>
      </c>
      <c r="G991">
        <v>3</v>
      </c>
      <c r="H991" s="1">
        <v>5.3819444444444444E-3</v>
      </c>
      <c r="I991">
        <v>2019</v>
      </c>
      <c r="J991" t="s">
        <v>59</v>
      </c>
      <c r="K991" s="2" t="str">
        <f>HYPERLINK("https://www.nba.com/stats/events?CFID=&amp;CFPARAMS=&amp;GameEventID=433&amp;GameID=0021900458&amp;Season=2019-20&amp;flag=1&amp;title=I.%20Zubac%20layup%20(9%20PTS)%20(K.%20Leonard%205%20AST)", "I. Zubac layup (9 PTS) (K. Leonard 5 AST)")</f>
        <v>I. Zubac layup (9 PTS) (K. Leonard 5 AST)</v>
      </c>
      <c r="L991" s="2" t="str">
        <f>HYPERLINK("https://www.nba.com/game/...-vs-...-0021900458/play-by-play?watchFullGame=true", "LAC vs LAL - Q3 07:45.00")</f>
        <v>LAC vs LAL - Q3 07:45.00</v>
      </c>
      <c r="M991">
        <v>1.8</v>
      </c>
      <c r="N991">
        <v>93.08</v>
      </c>
      <c r="O991">
        <v>50.18</v>
      </c>
      <c r="P991">
        <v>1</v>
      </c>
      <c r="Q991">
        <v>13</v>
      </c>
      <c r="R991">
        <v>93</v>
      </c>
      <c r="S991">
        <v>50</v>
      </c>
      <c r="T991" t="s">
        <v>58</v>
      </c>
    </row>
    <row r="992" spans="1:20" x14ac:dyDescent="0.25">
      <c r="A992">
        <v>22201069</v>
      </c>
      <c r="B992" t="s">
        <v>4</v>
      </c>
      <c r="C992" t="s">
        <v>64</v>
      </c>
      <c r="D992">
        <v>4</v>
      </c>
      <c r="E992">
        <v>0</v>
      </c>
      <c r="F992">
        <v>4</v>
      </c>
      <c r="G992">
        <v>1</v>
      </c>
      <c r="H992" s="1">
        <v>7.4768518518518517E-3</v>
      </c>
      <c r="I992">
        <v>2022</v>
      </c>
      <c r="J992" t="s">
        <v>59</v>
      </c>
      <c r="K992" s="2" t="str">
        <f>HYPERLINK("https://www.nba.com/stats/events?CFID=&amp;CFPARAMS=&amp;GameEventID=14&amp;GameID=0022201069&amp;Season=2022-23&amp;flag=1&amp;title=I.%20Zubac%20driving%20Layup%20(4%20PTS)%20(K.%20Leonard%201%20AST)", "I. Zubac driving Layup (4 PTS) (K. Leonard 1 AST)")</f>
        <v>I. Zubac driving Layup (4 PTS) (K. Leonard 1 AST)</v>
      </c>
      <c r="L992" s="2" t="str">
        <f>HYPERLINK("https://www.nba.com/game/...-vs-...-0022201069/play-by-play?watchFullGame=true", "LAC vs POR - Q1 10:46.00")</f>
        <v>LAC vs POR - Q1 10:46.00</v>
      </c>
      <c r="M992">
        <v>1.39</v>
      </c>
      <c r="N992">
        <v>93.51</v>
      </c>
      <c r="O992">
        <v>52.21</v>
      </c>
      <c r="P992">
        <v>11</v>
      </c>
      <c r="Q992">
        <v>8</v>
      </c>
      <c r="R992">
        <v>93</v>
      </c>
      <c r="S992">
        <v>52</v>
      </c>
      <c r="T992" t="s">
        <v>58</v>
      </c>
    </row>
    <row r="993" spans="1:20" x14ac:dyDescent="0.25">
      <c r="A993">
        <v>22300074</v>
      </c>
      <c r="B993" t="s">
        <v>4</v>
      </c>
      <c r="C993" t="s">
        <v>65</v>
      </c>
      <c r="D993">
        <v>15</v>
      </c>
      <c r="E993">
        <v>6</v>
      </c>
      <c r="F993">
        <v>9</v>
      </c>
      <c r="G993">
        <v>1</v>
      </c>
      <c r="H993" s="1">
        <v>4.2129629629629626E-3</v>
      </c>
      <c r="I993">
        <v>2023</v>
      </c>
      <c r="J993" t="s">
        <v>59</v>
      </c>
      <c r="K993" s="2" t="str">
        <f>HYPERLINK("https://www.nba.com/stats/events?CFID=&amp;CFPARAMS=&amp;GameEventID=84&amp;GameID=0022300074&amp;Season=2023-24&amp;flag=1&amp;title=R.%20Covington%20running%20DUNK%20(2%20PTS)%20(K.%20Leonard%202%20AST)", "R. Covington running DUNK (2 PTS) (K. Leonard 2 AST)")</f>
        <v>R. Covington running DUNK (2 PTS) (K. Leonard 2 AST)</v>
      </c>
      <c r="L993" s="2" t="str">
        <f>HYPERLINK("https://www.nba.com/game/...-vs-...-0022300074/play-by-play?watchFullGame=true", "LAC vs POR - Q1 06:04.00")</f>
        <v>LAC vs POR - Q1 06:04.00</v>
      </c>
      <c r="M993">
        <v>1.1499999999999999</v>
      </c>
      <c r="N993">
        <v>93.61</v>
      </c>
      <c r="O993">
        <v>51.72</v>
      </c>
      <c r="P993">
        <v>9</v>
      </c>
      <c r="Q993">
        <v>8</v>
      </c>
      <c r="R993">
        <v>93</v>
      </c>
      <c r="S993">
        <v>51</v>
      </c>
      <c r="T993" t="s">
        <v>58</v>
      </c>
    </row>
    <row r="994" spans="1:20" x14ac:dyDescent="0.25">
      <c r="A994">
        <v>22300052</v>
      </c>
      <c r="B994" t="s">
        <v>4</v>
      </c>
      <c r="C994" t="s">
        <v>64</v>
      </c>
      <c r="D994">
        <v>93</v>
      </c>
      <c r="E994">
        <v>103</v>
      </c>
      <c r="F994">
        <v>10</v>
      </c>
      <c r="G994">
        <v>4</v>
      </c>
      <c r="H994" s="1">
        <v>4.3750000000000004E-3</v>
      </c>
      <c r="I994">
        <v>2023</v>
      </c>
      <c r="J994" t="s">
        <v>59</v>
      </c>
      <c r="K994" s="2" t="str">
        <f>HYPERLINK("https://www.nba.com/stats/events?CFID=&amp;CFPARAMS=&amp;GameEventID=607&amp;GameID=0022300052&amp;Season=2023-24&amp;flag=1&amp;title=P.%20George%20running%20Layup%20(29%20PTS)%20(K.%20Leonard%203%20AST)", "P. George running Layup (29 PTS) (K. Leonard 3 AST)")</f>
        <v>P. George running Layup (29 PTS) (K. Leonard 3 AST)</v>
      </c>
      <c r="L994" s="2" t="str">
        <f>HYPERLINK("https://www.nba.com/game/...-vs-...-0022300052/play-by-play?watchFullGame=true", "LAC vs NOP - Q4 06:18.00")</f>
        <v>LAC vs NOP - Q4 06:18.00</v>
      </c>
      <c r="M994">
        <v>2.39</v>
      </c>
      <c r="N994">
        <v>93.87</v>
      </c>
      <c r="O994">
        <v>45.34</v>
      </c>
      <c r="P994">
        <v>-23</v>
      </c>
      <c r="Q994">
        <v>5</v>
      </c>
      <c r="R994">
        <v>93</v>
      </c>
      <c r="S994">
        <v>45</v>
      </c>
      <c r="T994" t="s">
        <v>58</v>
      </c>
    </row>
    <row r="995" spans="1:20" x14ac:dyDescent="0.25">
      <c r="A995">
        <v>22200352</v>
      </c>
      <c r="B995" t="s">
        <v>4</v>
      </c>
      <c r="C995" t="s">
        <v>65</v>
      </c>
      <c r="D995">
        <v>15</v>
      </c>
      <c r="E995">
        <v>10</v>
      </c>
      <c r="F995">
        <v>5</v>
      </c>
      <c r="G995">
        <v>1</v>
      </c>
      <c r="H995" s="1">
        <v>4.8726851851851848E-3</v>
      </c>
      <c r="I995">
        <v>2022</v>
      </c>
      <c r="J995" t="s">
        <v>59</v>
      </c>
      <c r="K995" s="2" t="str">
        <f>HYPERLINK("https://www.nba.com/stats/events?CFID=&amp;CFPARAMS=&amp;GameEventID=59&amp;GameID=0022200352&amp;Season=2022-23&amp;flag=1&amp;title=I.%20Zubac%20DUNK%20(2%20PTS)%20(K.%20Leonard%201%20AST)", "I. Zubac DUNK (2 PTS) (K. Leonard 1 AST)")</f>
        <v>I. Zubac DUNK (2 PTS) (K. Leonard 1 AST)</v>
      </c>
      <c r="L995" s="2" t="str">
        <f>HYPERLINK("https://www.nba.com/game/...-vs-...-0022200352/play-by-play?watchFullGame=true", "LAC vs CHA - Q1 07:01.00")</f>
        <v>LAC vs CHA - Q1 07:01.00</v>
      </c>
      <c r="M995">
        <v>0.95</v>
      </c>
      <c r="N995">
        <v>93.64</v>
      </c>
      <c r="O995">
        <v>48.77</v>
      </c>
      <c r="P995">
        <v>-6</v>
      </c>
      <c r="Q995">
        <v>7</v>
      </c>
      <c r="R995">
        <v>93</v>
      </c>
      <c r="S995">
        <v>48</v>
      </c>
      <c r="T995" t="s">
        <v>58</v>
      </c>
    </row>
    <row r="996" spans="1:20" x14ac:dyDescent="0.25">
      <c r="A996">
        <v>22300511</v>
      </c>
      <c r="B996" t="s">
        <v>4</v>
      </c>
      <c r="C996" t="s">
        <v>65</v>
      </c>
      <c r="D996">
        <v>42</v>
      </c>
      <c r="E996">
        <v>40</v>
      </c>
      <c r="F996">
        <v>2</v>
      </c>
      <c r="G996">
        <v>2</v>
      </c>
      <c r="H996" s="1">
        <v>5.9722222222222225E-3</v>
      </c>
      <c r="I996">
        <v>2023</v>
      </c>
      <c r="J996" t="s">
        <v>59</v>
      </c>
      <c r="K996" s="2" t="str">
        <f>HYPERLINK("https://www.nba.com/stats/events?CFID=&amp;CFPARAMS=&amp;GameEventID=188&amp;GameID=0022300511&amp;Season=2023-24&amp;flag=1&amp;title=D.%20Theis%20cutting%20DUNK%20(2%20PTS)%20(K.%20Leonard%201%20AST)", "D. Theis cutting DUNK (2 PTS) (K. Leonard 1 AST)")</f>
        <v>D. Theis cutting DUNK (2 PTS) (K. Leonard 1 AST)</v>
      </c>
      <c r="L996" s="2" t="str">
        <f>HYPERLINK("https://www.nba.com/game/...-vs-...-0022300511/play-by-play?watchFullGame=true", "LAC vs PHX - Q2 08:36.00")</f>
        <v>LAC vs PHX - Q2 08:36.00</v>
      </c>
      <c r="M996">
        <v>0.52</v>
      </c>
      <c r="N996">
        <v>93.87</v>
      </c>
      <c r="O996">
        <v>50.25</v>
      </c>
      <c r="P996">
        <v>1</v>
      </c>
      <c r="Q996">
        <v>5</v>
      </c>
      <c r="R996">
        <v>93</v>
      </c>
      <c r="S996">
        <v>50</v>
      </c>
      <c r="T996" t="s">
        <v>58</v>
      </c>
    </row>
    <row r="997" spans="1:20" x14ac:dyDescent="0.25">
      <c r="A997">
        <v>22301079</v>
      </c>
      <c r="B997" t="s">
        <v>4</v>
      </c>
      <c r="C997" t="s">
        <v>64</v>
      </c>
      <c r="D997">
        <v>29</v>
      </c>
      <c r="E997">
        <v>22</v>
      </c>
      <c r="F997">
        <v>7</v>
      </c>
      <c r="G997">
        <v>1</v>
      </c>
      <c r="H997" s="1">
        <v>5.1041666666666672E-4</v>
      </c>
      <c r="I997">
        <v>2023</v>
      </c>
      <c r="J997" t="s">
        <v>59</v>
      </c>
      <c r="K997" s="2" t="str">
        <f>HYPERLINK("https://www.nba.com/stats/events?CFID=&amp;CFPARAMS=&amp;GameEventID=115&amp;GameID=0022301079&amp;Season=2023-24&amp;flag=1&amp;title=I.%20Zubac%20Layup%20(10%20PTS)%20(K.%20Leonard%201%20AST)", "I. Zubac Layup (10 PTS) (K. Leonard 1 AST)")</f>
        <v>I. Zubac Layup (10 PTS) (K. Leonard 1 AST)</v>
      </c>
      <c r="L997" s="2" t="str">
        <f>HYPERLINK("https://www.nba.com/game/...-vs-...-0022301079/play-by-play?watchFullGame=true", "LAC vs CHA - Q1 00:44.10")</f>
        <v>LAC vs CHA - Q1 00:44.10</v>
      </c>
      <c r="M997">
        <v>3.36</v>
      </c>
      <c r="N997">
        <v>93.77</v>
      </c>
      <c r="O997">
        <v>56.62</v>
      </c>
      <c r="P997">
        <v>33</v>
      </c>
      <c r="Q997">
        <v>6</v>
      </c>
      <c r="R997">
        <v>93</v>
      </c>
      <c r="S997">
        <v>56</v>
      </c>
      <c r="T997" t="s">
        <v>58</v>
      </c>
    </row>
    <row r="998" spans="1:20" x14ac:dyDescent="0.25">
      <c r="A998">
        <v>22400783</v>
      </c>
      <c r="B998" t="s">
        <v>4</v>
      </c>
      <c r="C998" t="s">
        <v>64</v>
      </c>
      <c r="D998">
        <v>112</v>
      </c>
      <c r="E998">
        <v>88</v>
      </c>
      <c r="F998">
        <v>24</v>
      </c>
      <c r="G998">
        <v>4</v>
      </c>
      <c r="H998" s="1">
        <v>6.4236111111111108E-3</v>
      </c>
      <c r="I998">
        <v>2024</v>
      </c>
      <c r="J998" t="s">
        <v>59</v>
      </c>
      <c r="K998" s="2" t="str">
        <f>HYPERLINK("https://www.nba.com/stats/events?CFID=&amp;CFPARAMS=&amp;GameEventID=568&amp;GameID=0022400783&amp;Season=2024-25&amp;flag=1&amp;title=B.%20Bogdanovic%20driving%20Layup%20(7%20PTS)%20(K.%20Leonard%204%20AST)", "B. Bogdanovic driving Layup (7 PTS) (K. Leonard 4 AST)")</f>
        <v>B. Bogdanovic driving Layup (7 PTS) (K. Leonard 4 AST)</v>
      </c>
      <c r="L998" s="2" t="str">
        <f>HYPERLINK("https://www.nba.com/game/...-vs-...-0022400783/play-by-play?watchFullGame=true", "LAC vs MEM - Q4 09:15.00")</f>
        <v>LAC vs MEM - Q4 09:15.00</v>
      </c>
      <c r="M998">
        <v>3.87</v>
      </c>
      <c r="N998">
        <v>93.17</v>
      </c>
      <c r="O998">
        <v>42.62</v>
      </c>
      <c r="P998">
        <v>-37</v>
      </c>
      <c r="Q998">
        <v>12</v>
      </c>
      <c r="R998">
        <v>93</v>
      </c>
      <c r="S998">
        <v>42</v>
      </c>
      <c r="T998" t="s">
        <v>58</v>
      </c>
    </row>
    <row r="999" spans="1:20" x14ac:dyDescent="0.25">
      <c r="A999">
        <v>21900145</v>
      </c>
      <c r="B999" t="s">
        <v>4</v>
      </c>
      <c r="C999" t="s">
        <v>63</v>
      </c>
      <c r="D999">
        <v>25</v>
      </c>
      <c r="E999">
        <v>24</v>
      </c>
      <c r="F999">
        <v>1</v>
      </c>
      <c r="G999">
        <v>2</v>
      </c>
      <c r="H999" s="1">
        <v>6.3657407407407404E-3</v>
      </c>
      <c r="I999">
        <v>2019</v>
      </c>
      <c r="J999" t="s">
        <v>59</v>
      </c>
      <c r="K999" s="2" t="str">
        <f>HYPERLINK("https://www.nba.com/stats/events?CFID=&amp;CFPARAMS=&amp;GameEventID=192&amp;GameID=0021900145&amp;Season=2019-20&amp;flag=1&amp;title=[LAC]%20Harrell%20dunk:%20Made%20(4%20PTS)%20assist:%20Leonard%20(3%20AST)", "[LAC] Harrell dunk: Made (4 PTS) assist: Leonard (3 AST)")</f>
        <v>[LAC] Harrell dunk: Made (4 PTS) assist: Leonard (3 AST)</v>
      </c>
      <c r="L999" s="2" t="str">
        <f>HYPERLINK("https://www.nba.com/game/...-vs-...-0021900145/play-by-play?watchFullGame=true", "LAC vs TOR - Q2 09:10.00")</f>
        <v>LAC vs TOR - Q2 09:10.00</v>
      </c>
      <c r="M999">
        <v>1.19</v>
      </c>
      <c r="N999">
        <v>93.74</v>
      </c>
      <c r="O999">
        <v>49.69</v>
      </c>
      <c r="P999">
        <v>-2</v>
      </c>
      <c r="Q999">
        <v>6</v>
      </c>
      <c r="R999">
        <v>93</v>
      </c>
      <c r="S999">
        <v>49</v>
      </c>
      <c r="T999" t="s">
        <v>58</v>
      </c>
    </row>
    <row r="1000" spans="1:20" x14ac:dyDescent="0.25">
      <c r="A1000">
        <v>22000966</v>
      </c>
      <c r="B1000" t="s">
        <v>4</v>
      </c>
      <c r="C1000" t="s">
        <v>65</v>
      </c>
      <c r="D1000">
        <v>10</v>
      </c>
      <c r="E1000">
        <v>5</v>
      </c>
      <c r="F1000">
        <v>5</v>
      </c>
      <c r="G1000">
        <v>1</v>
      </c>
      <c r="H1000" s="1">
        <v>6.5856481481481478E-3</v>
      </c>
      <c r="I1000">
        <v>2020</v>
      </c>
      <c r="J1000" t="s">
        <v>59</v>
      </c>
      <c r="K1000" s="2" t="str">
        <f>HYPERLINK("https://www.nba.com/stats/events?CFID=&amp;CFPARAMS=&amp;GameEventID=25&amp;GameID=0022000966&amp;Season=2020-21&amp;flag=1&amp;title=I.%20Zubac%20DUNK%20(3%20PTS)%20(K.%20Leonard%202%20AST)", "I. Zubac DUNK (3 PTS) (K. Leonard 2 AST)")</f>
        <v>I. Zubac DUNK (3 PTS) (K. Leonard 2 AST)</v>
      </c>
      <c r="L1000" s="2" t="str">
        <f>HYPERLINK("https://www.nba.com/game/...-vs-...-0022000966/play-by-play?watchFullGame=true", "LAC vs DEN - Q1 09:29.00")</f>
        <v>LAC vs DEN - Q1 09:29.00</v>
      </c>
      <c r="M1000">
        <v>1.4</v>
      </c>
      <c r="N1000">
        <v>93.64</v>
      </c>
      <c r="O1000">
        <v>47.62</v>
      </c>
      <c r="P1000">
        <v>-12</v>
      </c>
      <c r="Q1000">
        <v>7</v>
      </c>
      <c r="R1000">
        <v>93</v>
      </c>
      <c r="S1000">
        <v>47</v>
      </c>
      <c r="T1000" t="s">
        <v>58</v>
      </c>
    </row>
    <row r="1001" spans="1:20" x14ac:dyDescent="0.25">
      <c r="A1001">
        <v>21900576</v>
      </c>
      <c r="B1001" t="s">
        <v>4</v>
      </c>
      <c r="C1001" t="s">
        <v>69</v>
      </c>
      <c r="D1001">
        <v>7</v>
      </c>
      <c r="E1001">
        <v>3</v>
      </c>
      <c r="F1001">
        <v>4</v>
      </c>
      <c r="G1001">
        <v>1</v>
      </c>
      <c r="H1001" s="1">
        <v>7.0254629629629634E-3</v>
      </c>
      <c r="I1001">
        <v>2019</v>
      </c>
      <c r="J1001" t="s">
        <v>59</v>
      </c>
      <c r="K1001" s="2" t="str">
        <f>HYPERLINK("https://www.nba.com/stats/events?CFID=&amp;CFPARAMS=&amp;GameEventID=27&amp;GameID=0021900576&amp;Season=2019-20&amp;flag=1&amp;title=M.%20Harkless%20layup%20(2%20PTS)%20(K.%20Leonard%201%20AST)", "M. Harkless layup (2 PTS) (K. Leonard 1 AST)")</f>
        <v>M. Harkless layup (2 PTS) (K. Leonard 1 AST)</v>
      </c>
      <c r="L1001" s="2" t="str">
        <f>HYPERLINK("https://www.nba.com/game/...-vs-...-0021900576/play-by-play?watchFullGame=true", "LAC vs GSW - Q1 10:07.00")</f>
        <v>LAC vs GSW - Q1 10:07.00</v>
      </c>
      <c r="M1001">
        <v>1.58</v>
      </c>
      <c r="N1001">
        <v>93.35</v>
      </c>
      <c r="O1001">
        <v>49.44</v>
      </c>
      <c r="P1001">
        <v>-3</v>
      </c>
      <c r="Q1001">
        <v>10</v>
      </c>
      <c r="R1001">
        <v>93</v>
      </c>
      <c r="S1001">
        <v>49</v>
      </c>
      <c r="T1001" t="s">
        <v>58</v>
      </c>
    </row>
    <row r="1002" spans="1:20" x14ac:dyDescent="0.25">
      <c r="A1002">
        <v>21900002</v>
      </c>
      <c r="B1002" t="s">
        <v>4</v>
      </c>
      <c r="C1002" t="s">
        <v>64</v>
      </c>
      <c r="D1002">
        <v>62</v>
      </c>
      <c r="E1002">
        <v>54</v>
      </c>
      <c r="F1002">
        <v>8</v>
      </c>
      <c r="G1002">
        <v>2</v>
      </c>
      <c r="H1002" s="1">
        <v>6.2500000000000001E-5</v>
      </c>
      <c r="I1002">
        <v>2019</v>
      </c>
      <c r="J1002" t="s">
        <v>59</v>
      </c>
      <c r="K1002" s="2" t="str">
        <f>HYPERLINK("https://www.nba.com/stats/events?CFID=&amp;CFPARAMS=&amp;GameEventID=353&amp;GameID=0021900002&amp;Season=2019-20&amp;flag=1&amp;title=I.%20Zubac%20cutting%20Layup%20(4%20PTS)%20(K.%20Leonard%203%20AST)", "I. Zubac cutting Layup (4 PTS) (K. Leonard 3 AST)")</f>
        <v>I. Zubac cutting Layup (4 PTS) (K. Leonard 3 AST)</v>
      </c>
      <c r="L1002" s="2" t="str">
        <f>HYPERLINK("https://www.nba.com/game/...-vs-...-0021900002/play-by-play?watchFullGame=true", "LAC vs LAL - Q2 00:05.40")</f>
        <v>LAC vs LAL - Q2 00:05.40</v>
      </c>
      <c r="M1002">
        <v>1.38</v>
      </c>
      <c r="N1002">
        <v>93.87</v>
      </c>
      <c r="O1002">
        <v>48.22</v>
      </c>
      <c r="P1002">
        <v>-9</v>
      </c>
      <c r="Q1002">
        <v>5</v>
      </c>
      <c r="R1002">
        <v>93</v>
      </c>
      <c r="S1002">
        <v>48</v>
      </c>
      <c r="T1002" t="s">
        <v>58</v>
      </c>
    </row>
    <row r="1003" spans="1:20" x14ac:dyDescent="0.25">
      <c r="A1003">
        <v>22400943</v>
      </c>
      <c r="B1003" t="s">
        <v>4</v>
      </c>
      <c r="C1003" t="s">
        <v>64</v>
      </c>
      <c r="D1003">
        <v>2</v>
      </c>
      <c r="E1003">
        <v>3</v>
      </c>
      <c r="F1003">
        <v>1</v>
      </c>
      <c r="G1003">
        <v>1</v>
      </c>
      <c r="H1003" s="1">
        <v>7.5694444444444446E-3</v>
      </c>
      <c r="I1003">
        <v>2024</v>
      </c>
      <c r="J1003" t="s">
        <v>59</v>
      </c>
      <c r="K1003" s="2" t="str">
        <f>HYPERLINK("https://www.nba.com/stats/events?CFID=&amp;CFPARAMS=&amp;GameEventID=19&amp;GameID=0022400943&amp;Season=2024-25&amp;flag=1&amp;title=K.%20Dunn%20running%20Layup%20(2%20PTS)%20(K.%20Leonard%201%20AST)", "K. Dunn running Layup (2 PTS) (K. Leonard 1 AST)")</f>
        <v>K. Dunn running Layup (2 PTS) (K. Leonard 1 AST)</v>
      </c>
      <c r="L1003" s="2" t="str">
        <f>HYPERLINK("https://www.nba.com/game/...-vs-...-0022400943/play-by-play?watchFullGame=true", "LAC vs NOP - Q1 10:54.00")</f>
        <v>LAC vs NOP - Q1 10:54.00</v>
      </c>
      <c r="M1003">
        <v>0.77</v>
      </c>
      <c r="N1003">
        <v>93.64</v>
      </c>
      <c r="O1003">
        <v>49.51</v>
      </c>
      <c r="P1003">
        <v>-2</v>
      </c>
      <c r="Q1003">
        <v>7</v>
      </c>
      <c r="R1003">
        <v>93</v>
      </c>
      <c r="S1003">
        <v>49</v>
      </c>
      <c r="T1003" t="s">
        <v>58</v>
      </c>
    </row>
    <row r="1004" spans="1:20" x14ac:dyDescent="0.25">
      <c r="A1004">
        <v>22400697</v>
      </c>
      <c r="B1004" t="s">
        <v>4</v>
      </c>
      <c r="C1004" t="s">
        <v>65</v>
      </c>
      <c r="D1004">
        <v>16</v>
      </c>
      <c r="E1004">
        <v>19</v>
      </c>
      <c r="F1004">
        <v>3</v>
      </c>
      <c r="G1004">
        <v>1</v>
      </c>
      <c r="H1004" s="1">
        <v>3.9699074074074072E-3</v>
      </c>
      <c r="I1004">
        <v>2024</v>
      </c>
      <c r="J1004" t="s">
        <v>59</v>
      </c>
      <c r="K1004" s="2" t="str">
        <f>HYPERLINK("https://www.nba.com/stats/events?CFID=&amp;CFPARAMS=&amp;GameEventID=69&amp;GameID=0022400697&amp;Season=2024-25&amp;flag=1&amp;title=I.%20Zubac%20DUNK%20(6%20PTS)%20(K.%20Leonard%201%20AST)", "I. Zubac DUNK (6 PTS) (K. Leonard 1 AST)")</f>
        <v>I. Zubac DUNK (6 PTS) (K. Leonard 1 AST)</v>
      </c>
      <c r="L1004" s="2" t="str">
        <f>HYPERLINK("https://www.nba.com/game/...-vs-...-0022400697/play-by-play?watchFullGame=true", "LAC vs TOR - Q1 05:43.00")</f>
        <v>LAC vs TOR - Q1 05:43.00</v>
      </c>
      <c r="M1004">
        <v>1.04</v>
      </c>
      <c r="N1004">
        <v>93.64</v>
      </c>
      <c r="O1004">
        <v>51.47</v>
      </c>
      <c r="P1004">
        <v>7</v>
      </c>
      <c r="Q1004">
        <v>7</v>
      </c>
      <c r="R1004">
        <v>93</v>
      </c>
      <c r="S1004">
        <v>51</v>
      </c>
      <c r="T1004" t="s">
        <v>58</v>
      </c>
    </row>
    <row r="1005" spans="1:20" x14ac:dyDescent="0.25">
      <c r="A1005">
        <v>22000775</v>
      </c>
      <c r="B1005" t="s">
        <v>10</v>
      </c>
      <c r="C1005" t="s">
        <v>9</v>
      </c>
      <c r="D1005">
        <v>15</v>
      </c>
      <c r="E1005">
        <v>6</v>
      </c>
      <c r="F1005">
        <v>9</v>
      </c>
      <c r="G1005">
        <v>1</v>
      </c>
      <c r="H1005" s="1">
        <v>6.2731481481481484E-3</v>
      </c>
      <c r="I1005">
        <v>2020</v>
      </c>
      <c r="J1005" t="s">
        <v>59</v>
      </c>
      <c r="K1005" s="2" t="str">
        <f>HYPERLINK("https://www.nba.com/stats/events?CFID=&amp;CFPARAMS=&amp;GameEventID=29&amp;GameID=0022000775&amp;Season=2020-21&amp;flag=1&amp;title=P.%20George%203PT%20%20(5%20PTS)%20(K.%20Leonard%202%20AST)", "P. George 3PT  (5 PTS) (K. Leonard 2 AST)")</f>
        <v>P. George 3PT  (5 PTS) (K. Leonard 2 AST)</v>
      </c>
      <c r="L1005" s="2" t="str">
        <f>HYPERLINK("https://www.nba.com/game/...-vs-...-0022000775/play-by-play?watchFullGame=true", "LAC vs POR - Q1 09:02.00")</f>
        <v>LAC vs POR - Q1 09:02.00</v>
      </c>
      <c r="M1005">
        <v>23.2</v>
      </c>
      <c r="N1005">
        <v>93.91</v>
      </c>
      <c r="O1005">
        <v>96.39</v>
      </c>
      <c r="P1005">
        <v>232</v>
      </c>
      <c r="Q1005">
        <v>5</v>
      </c>
      <c r="R1005">
        <v>93</v>
      </c>
      <c r="S1005">
        <v>96</v>
      </c>
      <c r="T1005" t="s">
        <v>58</v>
      </c>
    </row>
    <row r="1006" spans="1:20" x14ac:dyDescent="0.25">
      <c r="A1006">
        <v>22300024</v>
      </c>
      <c r="B1006" t="s">
        <v>4</v>
      </c>
      <c r="C1006" t="s">
        <v>64</v>
      </c>
      <c r="D1006">
        <v>9</v>
      </c>
      <c r="E1006">
        <v>6</v>
      </c>
      <c r="F1006">
        <v>3</v>
      </c>
      <c r="G1006">
        <v>1</v>
      </c>
      <c r="H1006" s="1">
        <v>5.6134259259259262E-3</v>
      </c>
      <c r="I1006">
        <v>2023</v>
      </c>
      <c r="J1006" t="s">
        <v>59</v>
      </c>
      <c r="K1006" s="2" t="str">
        <f>HYPERLINK("https://www.nba.com/stats/events?CFID=&amp;CFPARAMS=&amp;GameEventID=48&amp;GameID=0022300024&amp;Season=2023-24&amp;flag=1&amp;title=R.%20Westbrook%20running%20Layup%20(2%20PTS)%20(K.%20Leonard%201%20AST)", "R. Westbrook running Layup (2 PTS) (K. Leonard 1 AST)")</f>
        <v>R. Westbrook running Layup (2 PTS) (K. Leonard 1 AST)</v>
      </c>
      <c r="L1006" s="2" t="str">
        <f>HYPERLINK("https://www.nba.com/game/...-vs-...-0022300024/play-by-play?watchFullGame=true", "LAC vs DEN - Q1 08:05.00")</f>
        <v>LAC vs DEN - Q1 08:05.00</v>
      </c>
      <c r="M1006">
        <v>1.1599999999999999</v>
      </c>
      <c r="N1006">
        <v>93.25</v>
      </c>
      <c r="O1006">
        <v>49.26</v>
      </c>
      <c r="P1006">
        <v>-4</v>
      </c>
      <c r="Q1006">
        <v>11</v>
      </c>
      <c r="R1006">
        <v>93</v>
      </c>
      <c r="S1006">
        <v>49</v>
      </c>
      <c r="T1006" t="s">
        <v>58</v>
      </c>
    </row>
    <row r="1007" spans="1:20" x14ac:dyDescent="0.25">
      <c r="A1007">
        <v>22300917</v>
      </c>
      <c r="B1007" t="s">
        <v>4</v>
      </c>
      <c r="C1007" t="s">
        <v>64</v>
      </c>
      <c r="D1007">
        <v>104</v>
      </c>
      <c r="E1007">
        <v>95</v>
      </c>
      <c r="F1007">
        <v>9</v>
      </c>
      <c r="G1007">
        <v>4</v>
      </c>
      <c r="H1007" s="1">
        <v>2.9282407407407408E-3</v>
      </c>
      <c r="I1007">
        <v>2023</v>
      </c>
      <c r="J1007" t="s">
        <v>59</v>
      </c>
      <c r="K1007" s="2" t="str">
        <f>HYPERLINK("https://www.nba.com/stats/events?CFID=&amp;CFPARAMS=&amp;GameEventID=580&amp;GameID=0022300917&amp;Season=2023-24&amp;flag=1&amp;title=P.%20George%20driving%20Layup%20(21%20PTS)%20(K.%20Leonard%204%20AST)", "P. George driving Layup (21 PTS) (K. Leonard 4 AST)")</f>
        <v>P. George driving Layup (21 PTS) (K. Leonard 4 AST)</v>
      </c>
      <c r="L1007" s="2" t="str">
        <f>HYPERLINK("https://www.nba.com/game/...-vs-...-0022300917/play-by-play?watchFullGame=true", "LAC vs CHI - Q4 04:13.00")</f>
        <v>LAC vs CHI - Q4 04:13.00</v>
      </c>
      <c r="M1007">
        <v>2.17</v>
      </c>
      <c r="N1007">
        <v>93.74</v>
      </c>
      <c r="O1007">
        <v>45.83</v>
      </c>
      <c r="P1007">
        <v>-21</v>
      </c>
      <c r="Q1007">
        <v>6</v>
      </c>
      <c r="R1007">
        <v>93</v>
      </c>
      <c r="S1007">
        <v>45</v>
      </c>
      <c r="T1007" t="s">
        <v>58</v>
      </c>
    </row>
    <row r="1008" spans="1:20" x14ac:dyDescent="0.25">
      <c r="A1008">
        <v>42000176</v>
      </c>
      <c r="B1008" t="s">
        <v>4</v>
      </c>
      <c r="C1008" t="s">
        <v>64</v>
      </c>
      <c r="D1008">
        <v>24</v>
      </c>
      <c r="E1008">
        <v>26</v>
      </c>
      <c r="F1008">
        <v>2</v>
      </c>
      <c r="G1008">
        <v>1</v>
      </c>
      <c r="H1008" s="1">
        <v>2.3148148148148147E-3</v>
      </c>
      <c r="I1008" t="s">
        <v>66</v>
      </c>
      <c r="J1008" t="s">
        <v>59</v>
      </c>
      <c r="K1008" s="2" t="str">
        <f>HYPERLINK("https://www.nba.com/stats/events?CFID=&amp;CFPARAMS=&amp;GameEventID=91&amp;GameID=0042000176&amp;Season=2020-21&amp;flag=1&amp;title=P.%20George%20reverse%20Layup%20(5%20PTS)%20(K.%20Leonard%203%20AST)", "P. George reverse Layup (5 PTS) (K. Leonard 3 AST)")</f>
        <v>P. George reverse Layup (5 PTS) (K. Leonard 3 AST)</v>
      </c>
      <c r="L1008" s="2" t="str">
        <f>HYPERLINK("https://www.nba.com/game/...-vs-...-0042000176/play-by-play?watchFullGame=true", "LAC vs DAL - Q1 03:20.00")</f>
        <v>LAC vs DAL - Q1 03:20.00</v>
      </c>
      <c r="M1008">
        <v>1.1000000000000001</v>
      </c>
      <c r="N1008">
        <v>93.38</v>
      </c>
      <c r="O1008">
        <v>51.05</v>
      </c>
      <c r="P1008">
        <v>93</v>
      </c>
      <c r="Q1008">
        <v>51</v>
      </c>
      <c r="R1008">
        <v>93</v>
      </c>
      <c r="S1008">
        <v>51</v>
      </c>
      <c r="T1008" t="s">
        <v>58</v>
      </c>
    </row>
    <row r="1009" spans="1:20" x14ac:dyDescent="0.25">
      <c r="A1009">
        <v>22200668</v>
      </c>
      <c r="B1009" t="s">
        <v>4</v>
      </c>
      <c r="C1009" t="s">
        <v>65</v>
      </c>
      <c r="D1009">
        <v>6</v>
      </c>
      <c r="E1009">
        <v>6</v>
      </c>
      <c r="F1009">
        <v>0</v>
      </c>
      <c r="G1009">
        <v>1</v>
      </c>
      <c r="H1009" s="1">
        <v>5.9606481481481481E-3</v>
      </c>
      <c r="I1009">
        <v>2022</v>
      </c>
      <c r="J1009" t="s">
        <v>59</v>
      </c>
      <c r="K1009" s="2" t="str">
        <f>HYPERLINK("https://www.nba.com/stats/events?CFID=&amp;CFPARAMS=&amp;GameEventID=41&amp;GameID=0022200668&amp;Season=2022-23&amp;flag=1&amp;title=P.%20George%20driving%20DUNK%20(4%20PTS)%20(K.%20Leonard%201%20AST)", "P. George driving DUNK (4 PTS) (K. Leonard 1 AST)")</f>
        <v>P. George driving DUNK (4 PTS) (K. Leonard 1 AST)</v>
      </c>
      <c r="L1009" s="2" t="str">
        <f>HYPERLINK("https://www.nba.com/game/...-vs-...-0022200668/play-by-play?watchFullGame=true", "LAC vs PHI - Q1 08:35.00")</f>
        <v>LAC vs PHI - Q1 08:35.00</v>
      </c>
      <c r="M1009">
        <v>0.51</v>
      </c>
      <c r="N1009">
        <v>93.87</v>
      </c>
      <c r="O1009">
        <v>50</v>
      </c>
      <c r="P1009">
        <v>93</v>
      </c>
      <c r="Q1009">
        <v>5</v>
      </c>
      <c r="R1009">
        <v>93</v>
      </c>
      <c r="S1009">
        <v>50</v>
      </c>
      <c r="T1009" t="s">
        <v>58</v>
      </c>
    </row>
    <row r="1010" spans="1:20" x14ac:dyDescent="0.25">
      <c r="A1010">
        <v>21900157</v>
      </c>
      <c r="B1010" t="s">
        <v>4</v>
      </c>
      <c r="C1010" t="s">
        <v>69</v>
      </c>
      <c r="D1010">
        <v>5</v>
      </c>
      <c r="E1010">
        <v>15</v>
      </c>
      <c r="F1010">
        <v>10</v>
      </c>
      <c r="G1010">
        <v>1</v>
      </c>
      <c r="H1010" s="1">
        <v>5.0578703703703706E-3</v>
      </c>
      <c r="I1010">
        <v>2019</v>
      </c>
      <c r="J1010" t="s">
        <v>59</v>
      </c>
      <c r="K1010" s="2" t="str">
        <f>HYPERLINK("https://www.nba.com/stats/events?CFID=&amp;CFPARAMS=&amp;GameEventID=59&amp;GameID=0021900157&amp;Season=2019-20&amp;flag=1&amp;title=P.%20Beverley%20layup%20(4%20PTS)%20(K.%20Leonard%201%20AST)", "P. Beverley layup (4 PTS) (K. Leonard 1 AST)")</f>
        <v>P. Beverley layup (4 PTS) (K. Leonard 1 AST)</v>
      </c>
      <c r="L1010" s="2" t="str">
        <f>HYPERLINK("https://www.nba.com/game/...-vs-...-0021900157/play-by-play?watchFullGame=true", "LAC vs HOU - Q1 07:17.00")</f>
        <v>LAC vs HOU - Q1 07:17.00</v>
      </c>
      <c r="M1010">
        <v>1.99</v>
      </c>
      <c r="N1010">
        <v>93.22</v>
      </c>
      <c r="O1010">
        <v>52.14</v>
      </c>
      <c r="P1010">
        <v>11</v>
      </c>
      <c r="Q1010">
        <v>11</v>
      </c>
      <c r="R1010">
        <v>93</v>
      </c>
      <c r="S1010">
        <v>52</v>
      </c>
      <c r="T1010" t="s">
        <v>58</v>
      </c>
    </row>
    <row r="1011" spans="1:20" x14ac:dyDescent="0.25">
      <c r="A1011">
        <v>21900516</v>
      </c>
      <c r="B1011" t="s">
        <v>4</v>
      </c>
      <c r="C1011" t="s">
        <v>63</v>
      </c>
      <c r="D1011">
        <v>17</v>
      </c>
      <c r="E1011">
        <v>20</v>
      </c>
      <c r="F1011">
        <v>3</v>
      </c>
      <c r="G1011">
        <v>1</v>
      </c>
      <c r="H1011" s="1">
        <v>2.0370370370370369E-3</v>
      </c>
      <c r="I1011">
        <v>2019</v>
      </c>
      <c r="J1011" t="s">
        <v>59</v>
      </c>
      <c r="K1011" s="2" t="str">
        <f>HYPERLINK("https://www.nba.com/stats/events?CFID=&amp;CFPARAMS=&amp;GameEventID=132&amp;GameID=0021900516&amp;Season=2019-20&amp;flag=1&amp;title=M.%20Harrell%20dunk%20(2%20PTS)%20(K.%20Leonard%203%20AST)", "M. Harrell dunk (2 PTS) (K. Leonard 3 AST)")</f>
        <v>M. Harrell dunk (2 PTS) (K. Leonard 3 AST)</v>
      </c>
      <c r="L1011" s="2" t="str">
        <f>HYPERLINK("https://www.nba.com/game/...-vs-...-0021900516/play-by-play?watchFullGame=true", "LAC vs DET - Q1 02:56.00")</f>
        <v>LAC vs DET - Q1 02:56.00</v>
      </c>
      <c r="M1011">
        <v>1.82</v>
      </c>
      <c r="N1011">
        <v>93.22</v>
      </c>
      <c r="O1011">
        <v>51.4</v>
      </c>
      <c r="P1011">
        <v>7</v>
      </c>
      <c r="Q1011">
        <v>11</v>
      </c>
      <c r="R1011">
        <v>93</v>
      </c>
      <c r="S1011">
        <v>51</v>
      </c>
      <c r="T1011" t="s">
        <v>58</v>
      </c>
    </row>
    <row r="1012" spans="1:20" x14ac:dyDescent="0.25">
      <c r="A1012">
        <v>22300244</v>
      </c>
      <c r="B1012" t="s">
        <v>4</v>
      </c>
      <c r="C1012" t="s">
        <v>70</v>
      </c>
      <c r="D1012">
        <v>55</v>
      </c>
      <c r="E1012">
        <v>38</v>
      </c>
      <c r="F1012">
        <v>17</v>
      </c>
      <c r="G1012">
        <v>2</v>
      </c>
      <c r="H1012" s="1">
        <v>9.1435185185185185E-4</v>
      </c>
      <c r="I1012">
        <v>2023</v>
      </c>
      <c r="J1012" t="s">
        <v>59</v>
      </c>
      <c r="K1012" s="2" t="str">
        <f>HYPERLINK("https://www.nba.com/stats/events?CFID=&amp;CFPARAMS=&amp;GameEventID=316&amp;GameID=0022300244&amp;Season=2023-24&amp;flag=1&amp;title=I.%20Zubac%207'%20Hook%20(6%20PTS)%20(K.%20Leonard%202%20AST)", "I. Zubac 7' Hook (6 PTS) (K. Leonard 2 AST)")</f>
        <v>I. Zubac 7' Hook (6 PTS) (K. Leonard 2 AST)</v>
      </c>
      <c r="L1012" s="2" t="str">
        <f>HYPERLINK("https://www.nba.com/game/...-vs-...-0022300244/play-by-play?watchFullGame=true", "LAC vs DAL - Q2 01:19.00")</f>
        <v>LAC vs DAL - Q2 01:19.00</v>
      </c>
      <c r="M1012">
        <v>7.03</v>
      </c>
      <c r="N1012">
        <v>93.61</v>
      </c>
      <c r="O1012">
        <v>36.03</v>
      </c>
      <c r="P1012">
        <v>-70</v>
      </c>
      <c r="Q1012">
        <v>8</v>
      </c>
      <c r="R1012">
        <v>93</v>
      </c>
      <c r="S1012">
        <v>36</v>
      </c>
      <c r="T1012" t="s">
        <v>58</v>
      </c>
    </row>
    <row r="1013" spans="1:20" x14ac:dyDescent="0.25">
      <c r="A1013">
        <v>22300897</v>
      </c>
      <c r="B1013" t="s">
        <v>10</v>
      </c>
      <c r="C1013" t="s">
        <v>9</v>
      </c>
      <c r="D1013">
        <v>40</v>
      </c>
      <c r="E1013">
        <v>52</v>
      </c>
      <c r="F1013">
        <v>12</v>
      </c>
      <c r="G1013">
        <v>2</v>
      </c>
      <c r="H1013" s="1">
        <v>1.4583333333333334E-3</v>
      </c>
      <c r="I1013">
        <v>2023</v>
      </c>
      <c r="J1013" t="s">
        <v>59</v>
      </c>
      <c r="K1013" s="2" t="str">
        <f>HYPERLINK("https://www.nba.com/stats/events?CFID=&amp;CFPARAMS=&amp;GameEventID=275&amp;GameID=0022300897&amp;Season=2023-24&amp;flag=1&amp;title=N.%20Powell%203PT%20running%20(6%20PTS)%20(K.%20Leonard%202%20AST)", "N. Powell 3PT running (6 PTS) (K. Leonard 2 AST)")</f>
        <v>N. Powell 3PT running (6 PTS) (K. Leonard 2 AST)</v>
      </c>
      <c r="L1013" s="2" t="str">
        <f>HYPERLINK("https://www.nba.com/game/...-vs-...-0022300897/play-by-play?watchFullGame=true", "LAC vs HOU - Q2 02:06.00")</f>
        <v>LAC vs HOU - Q2 02:06.00</v>
      </c>
      <c r="M1013">
        <v>22.95</v>
      </c>
      <c r="N1013">
        <v>93.25</v>
      </c>
      <c r="O1013">
        <v>95.83</v>
      </c>
      <c r="P1013">
        <v>229</v>
      </c>
      <c r="Q1013">
        <v>11</v>
      </c>
      <c r="R1013">
        <v>93</v>
      </c>
      <c r="S1013">
        <v>95</v>
      </c>
      <c r="T1013" t="s">
        <v>58</v>
      </c>
    </row>
    <row r="1014" spans="1:20" x14ac:dyDescent="0.25">
      <c r="A1014">
        <v>22400889</v>
      </c>
      <c r="B1014" t="s">
        <v>10</v>
      </c>
      <c r="C1014" t="s">
        <v>9</v>
      </c>
      <c r="D1014">
        <v>42</v>
      </c>
      <c r="E1014">
        <v>37</v>
      </c>
      <c r="F1014">
        <v>5</v>
      </c>
      <c r="G1014">
        <v>2</v>
      </c>
      <c r="H1014" s="1">
        <v>4.4791666666666669E-3</v>
      </c>
      <c r="I1014">
        <v>2024</v>
      </c>
      <c r="J1014" t="s">
        <v>59</v>
      </c>
      <c r="K1014" s="2" t="str">
        <f>HYPERLINK("https://www.nba.com/stats/events?CFID=&amp;CFPARAMS=&amp;GameEventID=212&amp;GameID=0022400889&amp;Season=2024-25&amp;flag=1&amp;title=B.%20Bogdanovic%203PT%20%20(11%20PTS)%20(K.%20Leonard%201%20AST)", "B. Bogdanovic 3PT  (11 PTS) (K. Leonard 1 AST)")</f>
        <v>B. Bogdanovic 3PT  (11 PTS) (K. Leonard 1 AST)</v>
      </c>
      <c r="L1014" s="2" t="str">
        <f>HYPERLINK("https://www.nba.com/game/...-vs-...-0022400889/play-by-play?watchFullGame=true", "LAC vs PHX - Q2 06:27.00")</f>
        <v>LAC vs PHX - Q2 06:27.00</v>
      </c>
      <c r="M1014">
        <v>22.8</v>
      </c>
      <c r="N1014">
        <v>93.3</v>
      </c>
      <c r="O1014">
        <v>95.57</v>
      </c>
      <c r="P1014">
        <v>228</v>
      </c>
      <c r="Q1014">
        <v>10</v>
      </c>
      <c r="R1014">
        <v>93</v>
      </c>
      <c r="S1014">
        <v>95</v>
      </c>
      <c r="T1014" t="s">
        <v>58</v>
      </c>
    </row>
    <row r="1015" spans="1:20" x14ac:dyDescent="0.25">
      <c r="A1015">
        <v>22200476</v>
      </c>
      <c r="B1015" t="s">
        <v>4</v>
      </c>
      <c r="C1015" t="s">
        <v>64</v>
      </c>
      <c r="D1015">
        <v>7</v>
      </c>
      <c r="E1015">
        <v>6</v>
      </c>
      <c r="F1015">
        <v>1</v>
      </c>
      <c r="G1015">
        <v>1</v>
      </c>
      <c r="H1015" s="1">
        <v>6.5740740740740742E-3</v>
      </c>
      <c r="I1015">
        <v>2022</v>
      </c>
      <c r="J1015" t="s">
        <v>59</v>
      </c>
      <c r="K1015" s="2" t="str">
        <f>HYPERLINK("https://www.nba.com/stats/events?CFID=&amp;CFPARAMS=&amp;GameEventID=46&amp;GameID=0022200476&amp;Season=2022-23&amp;flag=1&amp;title=P.%20George%20running%20reverse%20Layup%20(5%20PTS)%20(K.%20Leonard%202%20AST)", "P. George running reverse Layup (5 PTS) (K. Leonard 2 AST)")</f>
        <v>P. George running reverse Layup (5 PTS) (K. Leonard 2 AST)</v>
      </c>
      <c r="L1015" s="2" t="str">
        <f>HYPERLINK("https://www.nba.com/game/...-vs-...-0022200476/play-by-play?watchFullGame=true", "LAC vs CHA - Q1 09:28.00")</f>
        <v>LAC vs CHA - Q1 09:28.00</v>
      </c>
      <c r="M1015">
        <v>1.38</v>
      </c>
      <c r="N1015">
        <v>93.74</v>
      </c>
      <c r="O1015">
        <v>52.45</v>
      </c>
      <c r="P1015">
        <v>12</v>
      </c>
      <c r="Q1015">
        <v>6</v>
      </c>
      <c r="R1015">
        <v>93</v>
      </c>
      <c r="S1015">
        <v>52</v>
      </c>
      <c r="T1015" t="s">
        <v>58</v>
      </c>
    </row>
    <row r="1016" spans="1:20" x14ac:dyDescent="0.25">
      <c r="A1016">
        <v>21900115</v>
      </c>
      <c r="B1016" t="s">
        <v>4</v>
      </c>
      <c r="C1016" t="s">
        <v>69</v>
      </c>
      <c r="D1016">
        <v>92</v>
      </c>
      <c r="E1016">
        <v>93</v>
      </c>
      <c r="F1016">
        <v>1</v>
      </c>
      <c r="G1016">
        <v>4</v>
      </c>
      <c r="H1016" s="1">
        <v>2.2106481481481482E-3</v>
      </c>
      <c r="I1016">
        <v>2019</v>
      </c>
      <c r="J1016" t="s">
        <v>59</v>
      </c>
      <c r="K1016" s="2" t="str">
        <f>HYPERLINK("https://www.nba.com/stats/events?CFID=&amp;CFPARAMS=&amp;GameEventID=629&amp;GameID=0021900115&amp;Season=2019-20&amp;flag=1&amp;title=[LAC]%20Harrell%20layup:%20Made%20(15%20PTS)%20assist:%20Leonard%20(4%20AST)", "[LAC] Harrell layup: Made (15 PTS) assist: Leonard (4 AST)")</f>
        <v>[LAC] Harrell layup: Made (15 PTS) assist: Leonard (4 AST)</v>
      </c>
      <c r="L1016" s="2" t="str">
        <f>HYPERLINK("https://www.nba.com/game/...-vs-...-0021900115/play-by-play?watchFullGame=true", "LAC vs POR - Q4 03:11.00")</f>
        <v>LAC vs POR - Q4 03:11.00</v>
      </c>
      <c r="M1016">
        <v>2.4700000000000002</v>
      </c>
      <c r="N1016">
        <v>93.74</v>
      </c>
      <c r="O1016">
        <v>54.34</v>
      </c>
      <c r="P1016">
        <v>22</v>
      </c>
      <c r="Q1016">
        <v>6</v>
      </c>
      <c r="R1016">
        <v>93</v>
      </c>
      <c r="S1016">
        <v>54</v>
      </c>
      <c r="T1016" t="s">
        <v>58</v>
      </c>
    </row>
    <row r="1017" spans="1:20" x14ac:dyDescent="0.25">
      <c r="A1017">
        <v>22300151</v>
      </c>
      <c r="B1017" t="s">
        <v>10</v>
      </c>
      <c r="C1017" t="s">
        <v>9</v>
      </c>
      <c r="D1017">
        <v>35</v>
      </c>
      <c r="E1017">
        <v>36</v>
      </c>
      <c r="F1017">
        <v>1</v>
      </c>
      <c r="G1017">
        <v>2</v>
      </c>
      <c r="H1017" s="1">
        <v>2.7777777777777779E-3</v>
      </c>
      <c r="I1017">
        <v>2023</v>
      </c>
      <c r="J1017" t="s">
        <v>59</v>
      </c>
      <c r="K1017" s="2" t="str">
        <f>HYPERLINK("https://www.nba.com/stats/events?CFID=&amp;CFPARAMS=&amp;GameEventID=220&amp;GameID=0022300151&amp;Season=2023-24&amp;flag=1&amp;title=N.%20Powell%203PT%20%20(3%20PTS)%20(K.%20Leonard%201%20AST)", "N. Powell 3PT  (3 PTS) (K. Leonard 1 AST)")</f>
        <v>N. Powell 3PT  (3 PTS) (K. Leonard 1 AST)</v>
      </c>
      <c r="L1017" s="2" t="str">
        <f>HYPERLINK("https://www.nba.com/game/...-vs-...-0022300151/play-by-play?watchFullGame=true", "LAC vs NYK - Q2 04:00.00")</f>
        <v>LAC vs NYK - Q2 04:00.00</v>
      </c>
      <c r="M1017">
        <v>22.57</v>
      </c>
      <c r="N1017">
        <v>93.38</v>
      </c>
      <c r="O1017">
        <v>95.1</v>
      </c>
      <c r="P1017">
        <v>225</v>
      </c>
      <c r="Q1017">
        <v>10</v>
      </c>
      <c r="R1017">
        <v>93</v>
      </c>
      <c r="S1017">
        <v>95</v>
      </c>
      <c r="T1017" t="s">
        <v>58</v>
      </c>
    </row>
    <row r="1018" spans="1:20" x14ac:dyDescent="0.25">
      <c r="A1018">
        <v>22000660</v>
      </c>
      <c r="B1018" t="s">
        <v>10</v>
      </c>
      <c r="C1018" t="s">
        <v>9</v>
      </c>
      <c r="D1018">
        <v>53</v>
      </c>
      <c r="E1018">
        <v>66</v>
      </c>
      <c r="F1018">
        <v>13</v>
      </c>
      <c r="G1018">
        <v>3</v>
      </c>
      <c r="H1018" s="1">
        <v>6.8055555555555551E-3</v>
      </c>
      <c r="I1018">
        <v>2020</v>
      </c>
      <c r="J1018" t="s">
        <v>59</v>
      </c>
      <c r="K1018" s="2" t="str">
        <f>HYPERLINK("https://www.nba.com/stats/events?CFID=&amp;CFPARAMS=&amp;GameEventID=350&amp;GameID=0022000660&amp;Season=2020-21&amp;flag=1&amp;title=M.%20Morris%20Sr.%203PT%20%20(16%20PTS)%20(K.%20Leonard%203%20AST)", "M. Morris Sr. 3PT  (16 PTS) (K. Leonard 3 AST)")</f>
        <v>M. Morris Sr. 3PT  (16 PTS) (K. Leonard 3 AST)</v>
      </c>
      <c r="L1018" s="2" t="str">
        <f>HYPERLINK("https://www.nba.com/game/...-vs-...-0022000660/play-by-play?watchFullGame=true", "LAC vs ATL - Q3 09:48.00")</f>
        <v>LAC vs ATL - Q3 09:48.00</v>
      </c>
      <c r="M1018">
        <v>23.94</v>
      </c>
      <c r="N1018">
        <v>93.61</v>
      </c>
      <c r="O1018">
        <v>2.14</v>
      </c>
      <c r="P1018">
        <v>-239</v>
      </c>
      <c r="Q1018">
        <v>8</v>
      </c>
      <c r="R1018">
        <v>93</v>
      </c>
      <c r="S1018">
        <v>2</v>
      </c>
      <c r="T1018" t="s">
        <v>58</v>
      </c>
    </row>
    <row r="1019" spans="1:20" x14ac:dyDescent="0.25">
      <c r="A1019">
        <v>22001019</v>
      </c>
      <c r="B1019" t="s">
        <v>4</v>
      </c>
      <c r="C1019" t="s">
        <v>65</v>
      </c>
      <c r="D1019">
        <v>15</v>
      </c>
      <c r="E1019">
        <v>13</v>
      </c>
      <c r="F1019">
        <v>2</v>
      </c>
      <c r="G1019">
        <v>1</v>
      </c>
      <c r="H1019" s="1">
        <v>2.7083333333333334E-3</v>
      </c>
      <c r="I1019">
        <v>2020</v>
      </c>
      <c r="J1019" t="s">
        <v>59</v>
      </c>
      <c r="K1019" s="2" t="str">
        <f>HYPERLINK("https://www.nba.com/stats/events?CFID=&amp;CFPARAMS=&amp;GameEventID=87&amp;GameID=0022001019&amp;Season=2020-21&amp;flag=1&amp;title=N.%20Batum%20cutting%20DUNK%20(2%20PTS)%20(K.%20Leonard%201%20AST)", "N. Batum cutting DUNK (2 PTS) (K. Leonard 1 AST)")</f>
        <v>N. Batum cutting DUNK (2 PTS) (K. Leonard 1 AST)</v>
      </c>
      <c r="L1019" s="2" t="str">
        <f>HYPERLINK("https://www.nba.com/game/...-vs-...-0022001019/play-by-play?watchFullGame=true", "LAC vs NYK - Q1 03:54.00")</f>
        <v>LAC vs NYK - Q1 03:54.00</v>
      </c>
      <c r="M1019">
        <v>1.23</v>
      </c>
      <c r="N1019">
        <v>93.12</v>
      </c>
      <c r="O1019">
        <v>50.31</v>
      </c>
      <c r="P1019">
        <v>2</v>
      </c>
      <c r="Q1019">
        <v>12</v>
      </c>
      <c r="R1019">
        <v>93</v>
      </c>
      <c r="S1019">
        <v>50</v>
      </c>
      <c r="T1019" t="s">
        <v>58</v>
      </c>
    </row>
    <row r="1020" spans="1:20" x14ac:dyDescent="0.25">
      <c r="A1020">
        <v>22300600</v>
      </c>
      <c r="B1020" t="s">
        <v>4</v>
      </c>
      <c r="C1020" t="s">
        <v>64</v>
      </c>
      <c r="D1020">
        <v>77</v>
      </c>
      <c r="E1020">
        <v>90</v>
      </c>
      <c r="F1020">
        <v>13</v>
      </c>
      <c r="G1020">
        <v>3</v>
      </c>
      <c r="H1020" s="1">
        <v>1.3657407407407407E-3</v>
      </c>
      <c r="I1020">
        <v>2023</v>
      </c>
      <c r="J1020" t="s">
        <v>59</v>
      </c>
      <c r="K1020" s="2" t="str">
        <f>HYPERLINK("https://www.nba.com/stats/events?CFID=&amp;CFPARAMS=&amp;GameEventID=443&amp;GameID=0022300600&amp;Season=2023-24&amp;flag=1&amp;title=D.%20Theis%20cutting%20Layup%20(4%20PTS)%20(K.%20Leonard%204%20AST)", "D. Theis cutting Layup (4 PTS) (K. Leonard 4 AST)")</f>
        <v>D. Theis cutting Layup (4 PTS) (K. Leonard 4 AST)</v>
      </c>
      <c r="L1020" s="2" t="str">
        <f>HYPERLINK("https://www.nba.com/game/...-vs-...-0022300600/play-by-play?watchFullGame=true", "LAC vs BKN - Q3 01:58.00")</f>
        <v>LAC vs BKN - Q3 01:58.00</v>
      </c>
      <c r="M1020">
        <v>1.88</v>
      </c>
      <c r="N1020">
        <v>93.35</v>
      </c>
      <c r="O1020">
        <v>46.81</v>
      </c>
      <c r="P1020">
        <v>-16</v>
      </c>
      <c r="Q1020">
        <v>10</v>
      </c>
      <c r="R1020">
        <v>93</v>
      </c>
      <c r="S1020">
        <v>46</v>
      </c>
      <c r="T1020" t="s">
        <v>58</v>
      </c>
    </row>
    <row r="1021" spans="1:20" x14ac:dyDescent="0.25">
      <c r="A1021">
        <v>22400793</v>
      </c>
      <c r="B1021" t="s">
        <v>4</v>
      </c>
      <c r="C1021" t="s">
        <v>64</v>
      </c>
      <c r="D1021">
        <v>95</v>
      </c>
      <c r="E1021">
        <v>84</v>
      </c>
      <c r="F1021">
        <v>11</v>
      </c>
      <c r="G1021">
        <v>4</v>
      </c>
      <c r="H1021" s="1">
        <v>6.6666666666666671E-3</v>
      </c>
      <c r="I1021">
        <v>2024</v>
      </c>
      <c r="J1021" t="s">
        <v>59</v>
      </c>
      <c r="K1021" s="2" t="str">
        <f>HYPERLINK("https://www.nba.com/stats/events?CFID=&amp;CFPARAMS=&amp;GameEventID=499&amp;GameID=0022400793&amp;Season=2024-25&amp;flag=1&amp;title=B.%20Simmons%20cutting%20finger%20roll%20Layup%20(6%20PTS)%20(K.%20Leonard%204%20AST)", "B. Simmons cutting finger roll Layup (6 PTS) (K. Leonard 4 AST)")</f>
        <v>B. Simmons cutting finger roll Layup (6 PTS) (K. Leonard 4 AST)</v>
      </c>
      <c r="L1021" s="2" t="str">
        <f>HYPERLINK("https://www.nba.com/game/...-vs-...-0022400793/play-by-play?watchFullGame=true", "LAC vs MIL - Q4 09:36.00")</f>
        <v>LAC vs MIL - Q4 09:36.00</v>
      </c>
      <c r="M1021">
        <v>0.86</v>
      </c>
      <c r="N1021">
        <v>93.77</v>
      </c>
      <c r="O1021">
        <v>51.23</v>
      </c>
      <c r="P1021">
        <v>6</v>
      </c>
      <c r="Q1021">
        <v>6</v>
      </c>
      <c r="R1021">
        <v>93</v>
      </c>
      <c r="S1021">
        <v>51</v>
      </c>
      <c r="T1021" t="s">
        <v>58</v>
      </c>
    </row>
    <row r="1022" spans="1:20" x14ac:dyDescent="0.25">
      <c r="A1022">
        <v>22200991</v>
      </c>
      <c r="B1022" t="s">
        <v>4</v>
      </c>
      <c r="C1022" t="s">
        <v>65</v>
      </c>
      <c r="D1022">
        <v>45</v>
      </c>
      <c r="E1022">
        <v>44</v>
      </c>
      <c r="F1022">
        <v>1</v>
      </c>
      <c r="G1022">
        <v>2</v>
      </c>
      <c r="H1022" s="1">
        <v>1.1921296296296296E-3</v>
      </c>
      <c r="I1022">
        <v>2022</v>
      </c>
      <c r="J1022" t="s">
        <v>59</v>
      </c>
      <c r="K1022" s="2" t="str">
        <f>HYPERLINK("https://www.nba.com/stats/events?CFID=&amp;CFPARAMS=&amp;GameEventID=274&amp;GameID=0022200991&amp;Season=2022-23&amp;flag=1&amp;title=I.%20Zubac%20cutting%20DUNK%20(6%20PTS)%20(K.%20Leonard%202%20AST)", "I. Zubac cutting DUNK (6 PTS) (K. Leonard 2 AST)")</f>
        <v>I. Zubac cutting DUNK (6 PTS) (K. Leonard 2 AST)</v>
      </c>
      <c r="L1022" s="2" t="str">
        <f>HYPERLINK("https://www.nba.com/game/...-vs-...-0022200991/play-by-play?watchFullGame=true", "LAC vs TOR - Q2 01:43.00")</f>
        <v>LAC vs TOR - Q2 01:43.00</v>
      </c>
      <c r="M1022">
        <v>1.07</v>
      </c>
      <c r="N1022">
        <v>93.48</v>
      </c>
      <c r="O1022">
        <v>48.77</v>
      </c>
      <c r="P1022">
        <v>-6</v>
      </c>
      <c r="Q1022">
        <v>9</v>
      </c>
      <c r="R1022">
        <v>93</v>
      </c>
      <c r="S1022">
        <v>48</v>
      </c>
      <c r="T1022" t="s">
        <v>58</v>
      </c>
    </row>
    <row r="1023" spans="1:20" x14ac:dyDescent="0.25">
      <c r="A1023">
        <v>22400697</v>
      </c>
      <c r="B1023" t="s">
        <v>10</v>
      </c>
      <c r="C1023" t="s">
        <v>9</v>
      </c>
      <c r="D1023">
        <v>21</v>
      </c>
      <c r="E1023">
        <v>21</v>
      </c>
      <c r="F1023">
        <v>0</v>
      </c>
      <c r="G1023">
        <v>1</v>
      </c>
      <c r="H1023" s="1">
        <v>3.1712962962962962E-3</v>
      </c>
      <c r="I1023">
        <v>2024</v>
      </c>
      <c r="J1023" t="s">
        <v>59</v>
      </c>
      <c r="K1023" s="2" t="str">
        <f>HYPERLINK("https://www.nba.com/stats/events?CFID=&amp;CFPARAMS=&amp;GameEventID=76&amp;GameID=0022400697&amp;Season=2024-25&amp;flag=1&amp;title=A.%20Coffey%203PT%20%20(3%20PTS)%20(K.%20Leonard%202%20AST)", "A. Coffey 3PT  (3 PTS) (K. Leonard 2 AST)")</f>
        <v>A. Coffey 3PT  (3 PTS) (K. Leonard 2 AST)</v>
      </c>
      <c r="L1023" s="2" t="str">
        <f>HYPERLINK("https://www.nba.com/game/...-vs-...-0022400697/play-by-play?watchFullGame=true", "LAC vs TOR - Q1 04:34.00")</f>
        <v>LAC vs TOR - Q1 04:34.00</v>
      </c>
      <c r="M1023">
        <v>23.31</v>
      </c>
      <c r="N1023">
        <v>93.25</v>
      </c>
      <c r="O1023">
        <v>96.57</v>
      </c>
      <c r="P1023">
        <v>233</v>
      </c>
      <c r="Q1023">
        <v>11</v>
      </c>
      <c r="R1023">
        <v>93</v>
      </c>
      <c r="S1023">
        <v>96</v>
      </c>
      <c r="T1023" t="s">
        <v>58</v>
      </c>
    </row>
    <row r="1024" spans="1:20" x14ac:dyDescent="0.25">
      <c r="A1024">
        <v>22300637</v>
      </c>
      <c r="B1024" t="s">
        <v>4</v>
      </c>
      <c r="C1024" t="s">
        <v>65</v>
      </c>
      <c r="D1024">
        <v>19</v>
      </c>
      <c r="E1024">
        <v>8</v>
      </c>
      <c r="F1024">
        <v>11</v>
      </c>
      <c r="G1024">
        <v>1</v>
      </c>
      <c r="H1024" s="1">
        <v>3.6342592592592594E-3</v>
      </c>
      <c r="I1024">
        <v>2023</v>
      </c>
      <c r="J1024" t="s">
        <v>59</v>
      </c>
      <c r="K1024" s="2" t="str">
        <f>HYPERLINK("https://www.nba.com/stats/events?CFID=&amp;CFPARAMS=&amp;GameEventID=83&amp;GameID=0022300637&amp;Season=2023-24&amp;flag=1&amp;title=M.%20Plumlee%20reverse%20DUNK%20(6%20PTS)%20(K.%20Leonard%202%20AST)", "M. Plumlee reverse DUNK (6 PTS) (K. Leonard 2 AST)")</f>
        <v>M. Plumlee reverse DUNK (6 PTS) (K. Leonard 2 AST)</v>
      </c>
      <c r="L1024" s="2" t="str">
        <f>HYPERLINK("https://www.nba.com/game/...-vs-...-0022300637/play-by-play?watchFullGame=true", "LAC vs TOR - Q1 05:14.00")</f>
        <v>LAC vs TOR - Q1 05:14.00</v>
      </c>
      <c r="M1024">
        <v>1.2</v>
      </c>
      <c r="N1024">
        <v>93.25</v>
      </c>
      <c r="O1024">
        <v>50.98</v>
      </c>
      <c r="P1024">
        <v>5</v>
      </c>
      <c r="Q1024">
        <v>11</v>
      </c>
      <c r="R1024">
        <v>93</v>
      </c>
      <c r="S1024">
        <v>50</v>
      </c>
      <c r="T1024" t="s">
        <v>58</v>
      </c>
    </row>
    <row r="1025" spans="1:20" x14ac:dyDescent="0.25">
      <c r="A1025">
        <v>22200871</v>
      </c>
      <c r="B1025" t="s">
        <v>4</v>
      </c>
      <c r="C1025" t="s">
        <v>64</v>
      </c>
      <c r="D1025">
        <v>44</v>
      </c>
      <c r="E1025">
        <v>43</v>
      </c>
      <c r="F1025">
        <v>1</v>
      </c>
      <c r="G1025">
        <v>2</v>
      </c>
      <c r="H1025" s="1">
        <v>4.5717592592592589E-3</v>
      </c>
      <c r="I1025">
        <v>2022</v>
      </c>
      <c r="J1025" t="s">
        <v>59</v>
      </c>
      <c r="K1025" s="2" t="str">
        <f>HYPERLINK("https://www.nba.com/stats/events?CFID=&amp;CFPARAMS=&amp;GameEventID=236&amp;GameID=0022200871&amp;Season=2022-23&amp;flag=1&amp;title=T.%20Mann%20cutting%20Layup%20(7%20PTS)%20(K.%20Leonard%202%20AST)", "T. Mann cutting Layup (7 PTS) (K. Leonard 2 AST)")</f>
        <v>T. Mann cutting Layup (7 PTS) (K. Leonard 2 AST)</v>
      </c>
      <c r="L1025" s="2" t="str">
        <f>HYPERLINK("https://www.nba.com/game/...-vs-...-0022200871/play-by-play?watchFullGame=true", "LAC vs GSW - Q2 06:35.00")</f>
        <v>LAC vs GSW - Q2 06:35.00</v>
      </c>
      <c r="M1025">
        <v>2.06</v>
      </c>
      <c r="N1025">
        <v>93.74</v>
      </c>
      <c r="O1025">
        <v>53.92</v>
      </c>
      <c r="P1025">
        <v>20</v>
      </c>
      <c r="Q1025">
        <v>6</v>
      </c>
      <c r="R1025">
        <v>93</v>
      </c>
      <c r="S1025">
        <v>53</v>
      </c>
      <c r="T1025" t="s">
        <v>58</v>
      </c>
    </row>
    <row r="1026" spans="1:20" x14ac:dyDescent="0.25">
      <c r="A1026">
        <v>22300865</v>
      </c>
      <c r="B1026" t="s">
        <v>4</v>
      </c>
      <c r="C1026" t="s">
        <v>64</v>
      </c>
      <c r="D1026">
        <v>64</v>
      </c>
      <c r="E1026">
        <v>50</v>
      </c>
      <c r="F1026">
        <v>14</v>
      </c>
      <c r="G1026">
        <v>2</v>
      </c>
      <c r="H1026" s="1">
        <v>3.1712962962962962E-3</v>
      </c>
      <c r="I1026">
        <v>2023</v>
      </c>
      <c r="J1026" t="s">
        <v>59</v>
      </c>
      <c r="K1026" s="2" t="str">
        <f>HYPERLINK("https://www.nba.com/stats/events?CFID=&amp;CFPARAMS=&amp;GameEventID=263&amp;GameID=0022300865&amp;Season=2023-24&amp;flag=1&amp;title=T.%20Mann%20driving%20reverse%20Layup%20(4%20PTS)%20(K.%20Leonard%202%20AST)", "T. Mann driving reverse Layup (4 PTS) (K. Leonard 2 AST)")</f>
        <v>T. Mann driving reverse Layup (4 PTS) (K. Leonard 2 AST)</v>
      </c>
      <c r="L1026" s="2" t="str">
        <f>HYPERLINK("https://www.nba.com/game/...-vs-...-0022300865/play-by-play?watchFullGame=true", "LAC vs WAS - Q2 04:34.00")</f>
        <v>LAC vs WAS - Q2 04:34.00</v>
      </c>
      <c r="M1026">
        <v>3.66</v>
      </c>
      <c r="N1026">
        <v>93.48</v>
      </c>
      <c r="O1026">
        <v>42.89</v>
      </c>
      <c r="P1026">
        <v>-36</v>
      </c>
      <c r="Q1026">
        <v>9</v>
      </c>
      <c r="R1026">
        <v>93</v>
      </c>
      <c r="S1026">
        <v>42</v>
      </c>
      <c r="T1026" t="s">
        <v>58</v>
      </c>
    </row>
    <row r="1027" spans="1:20" x14ac:dyDescent="0.25">
      <c r="A1027">
        <v>22400596</v>
      </c>
      <c r="B1027" t="s">
        <v>10</v>
      </c>
      <c r="C1027" t="s">
        <v>9</v>
      </c>
      <c r="D1027">
        <v>35</v>
      </c>
      <c r="E1027">
        <v>26</v>
      </c>
      <c r="F1027">
        <v>9</v>
      </c>
      <c r="G1027">
        <v>2</v>
      </c>
      <c r="H1027" s="1">
        <v>8.1250000000000003E-3</v>
      </c>
      <c r="I1027">
        <v>2024</v>
      </c>
      <c r="J1027" t="s">
        <v>59</v>
      </c>
      <c r="K1027" s="2" t="str">
        <f>HYPERLINK("https://www.nba.com/stats/events?CFID=&amp;CFPARAMS=&amp;GameEventID=145&amp;GameID=0022400596&amp;Season=2024-25&amp;flag=1&amp;title=N.%20Batum%203PT%20%20(3%20PTS)%20(K.%20Leonard%204%20AST)", "N. Batum 3PT  (3 PTS) (K. Leonard 4 AST)")</f>
        <v>N. Batum 3PT  (3 PTS) (K. Leonard 4 AST)</v>
      </c>
      <c r="L1027" s="2" t="str">
        <f>HYPERLINK("https://www.nba.com/game/...-vs-...-0022400596/play-by-play?watchFullGame=true", "LAC vs LAL - Q2 11:42.00")</f>
        <v>LAC vs LAL - Q2 11:42.00</v>
      </c>
      <c r="M1027">
        <v>23.21</v>
      </c>
      <c r="N1027">
        <v>93.04</v>
      </c>
      <c r="O1027">
        <v>96.35</v>
      </c>
      <c r="P1027">
        <v>232</v>
      </c>
      <c r="Q1027">
        <v>13</v>
      </c>
      <c r="R1027">
        <v>93</v>
      </c>
      <c r="S1027">
        <v>96</v>
      </c>
      <c r="T1027" t="s">
        <v>58</v>
      </c>
    </row>
    <row r="1028" spans="1:20" x14ac:dyDescent="0.25">
      <c r="A1028">
        <v>22300127</v>
      </c>
      <c r="B1028" t="s">
        <v>10</v>
      </c>
      <c r="C1028" t="s">
        <v>9</v>
      </c>
      <c r="D1028">
        <v>51</v>
      </c>
      <c r="E1028">
        <v>39</v>
      </c>
      <c r="F1028">
        <v>12</v>
      </c>
      <c r="G1028">
        <v>2</v>
      </c>
      <c r="H1028" s="1">
        <v>3.5185185185185185E-3</v>
      </c>
      <c r="I1028">
        <v>2023</v>
      </c>
      <c r="J1028" t="s">
        <v>59</v>
      </c>
      <c r="K1028" s="2" t="str">
        <f>HYPERLINK("https://www.nba.com/stats/events?CFID=&amp;CFPARAMS=&amp;GameEventID=245&amp;GameID=0022300127&amp;Season=2023-24&amp;flag=1&amp;title=P.%20George%203PT%20%20(8%20PTS)%20(K.%20Leonard%202%20AST)", "P. George 3PT  (8 PTS) (K. Leonard 2 AST)")</f>
        <v>P. George 3PT  (8 PTS) (K. Leonard 2 AST)</v>
      </c>
      <c r="L1028" s="2" t="str">
        <f>HYPERLINK("https://www.nba.com/game/...-vs-...-0022300127/play-by-play?watchFullGame=true", "LAC vs LAL - Q2 05:04.00")</f>
        <v>LAC vs LAL - Q2 05:04.00</v>
      </c>
      <c r="M1028">
        <v>23.8</v>
      </c>
      <c r="N1028">
        <v>93.22</v>
      </c>
      <c r="O1028">
        <v>2.4500000000000002</v>
      </c>
      <c r="P1028">
        <v>-238</v>
      </c>
      <c r="Q1028">
        <v>11</v>
      </c>
      <c r="R1028">
        <v>93</v>
      </c>
      <c r="S1028">
        <v>2</v>
      </c>
      <c r="T1028" t="s">
        <v>58</v>
      </c>
    </row>
    <row r="1029" spans="1:20" x14ac:dyDescent="0.25">
      <c r="A1029">
        <v>41900232</v>
      </c>
      <c r="B1029" t="s">
        <v>4</v>
      </c>
      <c r="C1029" t="s">
        <v>69</v>
      </c>
      <c r="D1029">
        <v>43</v>
      </c>
      <c r="E1029">
        <v>57</v>
      </c>
      <c r="F1029">
        <v>14</v>
      </c>
      <c r="G1029">
        <v>2</v>
      </c>
      <c r="H1029" s="1">
        <v>3.3333333333333335E-3</v>
      </c>
      <c r="I1029" t="s">
        <v>62</v>
      </c>
      <c r="J1029" t="s">
        <v>59</v>
      </c>
      <c r="K1029" s="2" t="str">
        <f>HYPERLINK("https://www.nba.com/stats/events?CFID=&amp;CFPARAMS=&amp;GameEventID=264&amp;GameID=0041900232&amp;Season=2019-20&amp;flag=1&amp;title=J.%20Green%20layup%20(5%20PTS)%20(K.%20Leonard%203%20AST)", "J. Green layup (5 PTS) (K. Leonard 3 AST)")</f>
        <v>J. Green layup (5 PTS) (K. Leonard 3 AST)</v>
      </c>
      <c r="L1029" s="2" t="str">
        <f>HYPERLINK("https://www.nba.com/game/...-vs-...-0041900232/play-by-play?watchFullGame=true", "LAC vs DEN - Q2 04:48.00")</f>
        <v>LAC vs DEN - Q2 04:48.00</v>
      </c>
      <c r="M1029">
        <v>1.1499999999999999</v>
      </c>
      <c r="N1029">
        <v>93.77</v>
      </c>
      <c r="O1029">
        <v>49.82</v>
      </c>
      <c r="P1029">
        <v>-1</v>
      </c>
      <c r="Q1029">
        <v>6</v>
      </c>
      <c r="R1029">
        <v>93</v>
      </c>
      <c r="S1029">
        <v>49</v>
      </c>
      <c r="T1029" t="s">
        <v>58</v>
      </c>
    </row>
    <row r="1030" spans="1:20" x14ac:dyDescent="0.25">
      <c r="A1030">
        <v>22300658</v>
      </c>
      <c r="B1030" t="s">
        <v>4</v>
      </c>
      <c r="C1030" t="s">
        <v>64</v>
      </c>
      <c r="D1030">
        <v>10</v>
      </c>
      <c r="E1030">
        <v>11</v>
      </c>
      <c r="F1030">
        <v>1</v>
      </c>
      <c r="G1030">
        <v>1</v>
      </c>
      <c r="H1030" s="1">
        <v>4.5254629629629629E-3</v>
      </c>
      <c r="I1030">
        <v>2023</v>
      </c>
      <c r="J1030" t="s">
        <v>59</v>
      </c>
      <c r="K1030" s="2" t="str">
        <f>HYPERLINK("https://www.nba.com/stats/events?CFID=&amp;CFPARAMS=&amp;GameEventID=66&amp;GameID=0022300658&amp;Season=2023-24&amp;flag=1&amp;title=P.%20George%20running%20Layup%20(2%20PTS)%20(K.%20Leonard%201%20AST)", "P. George running Layup (2 PTS) (K. Leonard 1 AST)")</f>
        <v>P. George running Layup (2 PTS) (K. Leonard 1 AST)</v>
      </c>
      <c r="L1030" s="2" t="str">
        <f>HYPERLINK("https://www.nba.com/game/...-vs-...-0022300658/play-by-play?watchFullGame=true", "LAC vs CLE - Q1 06:31.00")</f>
        <v>LAC vs CLE - Q1 06:31.00</v>
      </c>
      <c r="M1030">
        <v>1.98</v>
      </c>
      <c r="N1030">
        <v>93.64</v>
      </c>
      <c r="O1030">
        <v>53.68</v>
      </c>
      <c r="P1030">
        <v>18</v>
      </c>
      <c r="Q1030">
        <v>7</v>
      </c>
      <c r="R1030">
        <v>93</v>
      </c>
      <c r="S1030">
        <v>53</v>
      </c>
      <c r="T1030" t="s">
        <v>58</v>
      </c>
    </row>
    <row r="1031" spans="1:20" x14ac:dyDescent="0.25">
      <c r="A1031">
        <v>41900235</v>
      </c>
      <c r="B1031" t="s">
        <v>4</v>
      </c>
      <c r="C1031" t="s">
        <v>69</v>
      </c>
      <c r="D1031">
        <v>8</v>
      </c>
      <c r="E1031">
        <v>3</v>
      </c>
      <c r="F1031">
        <v>5</v>
      </c>
      <c r="G1031">
        <v>1</v>
      </c>
      <c r="H1031" s="1">
        <v>5.7407407407407407E-3</v>
      </c>
      <c r="I1031" t="s">
        <v>62</v>
      </c>
      <c r="J1031" t="s">
        <v>59</v>
      </c>
      <c r="K1031" s="2" t="str">
        <f>HYPERLINK("https://www.nba.com/stats/events?CFID=&amp;CFPARAMS=&amp;GameEventID=45&amp;GameID=0041900235&amp;Season=2019-20&amp;flag=1&amp;title=P.%20Beverley%20layup%20(5%20PTS)%20(K.%20Leonard%201%20AST)", "P. Beverley layup (5 PTS) (K. Leonard 1 AST)")</f>
        <v>P. Beverley layup (5 PTS) (K. Leonard 1 AST)</v>
      </c>
      <c r="L1031" s="2" t="str">
        <f>HYPERLINK("https://www.nba.com/game/...-vs-...-0041900235/play-by-play?watchFullGame=true", "LAC vs DEN - Q1 08:16.00")</f>
        <v>LAC vs DEN - Q1 08:16.00</v>
      </c>
      <c r="M1031">
        <v>1.71</v>
      </c>
      <c r="N1031">
        <v>93.77</v>
      </c>
      <c r="O1031">
        <v>52.52</v>
      </c>
      <c r="P1031">
        <v>13</v>
      </c>
      <c r="Q1031">
        <v>6</v>
      </c>
      <c r="R1031">
        <v>93</v>
      </c>
      <c r="S1031">
        <v>52</v>
      </c>
      <c r="T1031" t="s">
        <v>58</v>
      </c>
    </row>
    <row r="1032" spans="1:20" x14ac:dyDescent="0.25">
      <c r="A1032">
        <v>22000644</v>
      </c>
      <c r="B1032" t="s">
        <v>4</v>
      </c>
      <c r="C1032" t="s">
        <v>64</v>
      </c>
      <c r="D1032">
        <v>30</v>
      </c>
      <c r="E1032">
        <v>17</v>
      </c>
      <c r="F1032">
        <v>13</v>
      </c>
      <c r="G1032">
        <v>1</v>
      </c>
      <c r="H1032" s="1">
        <v>1.5277777777777779E-3</v>
      </c>
      <c r="I1032">
        <v>2020</v>
      </c>
      <c r="J1032" t="s">
        <v>59</v>
      </c>
      <c r="K1032" s="2" t="str">
        <f>HYPERLINK("https://www.nba.com/stats/events?CFID=&amp;CFPARAMS=&amp;GameEventID=107&amp;GameID=0022000644&amp;Season=2020-21&amp;flag=1&amp;title=T.%20Mann%20running%20Layup%20(2%20PTS)%20(K.%20Leonard%203%20AST)", "T. Mann running Layup (2 PTS) (K. Leonard 3 AST)")</f>
        <v>T. Mann running Layup (2 PTS) (K. Leonard 3 AST)</v>
      </c>
      <c r="L1032" s="2" t="str">
        <f>HYPERLINK("https://www.nba.com/game/...-vs-...-0022000644/play-by-play?watchFullGame=true", "LAC vs CHA - Q1 02:12.00")</f>
        <v>LAC vs CHA - Q1 02:12.00</v>
      </c>
      <c r="M1032">
        <v>1.35</v>
      </c>
      <c r="N1032">
        <v>93.91</v>
      </c>
      <c r="O1032">
        <v>52.52</v>
      </c>
      <c r="P1032">
        <v>13</v>
      </c>
      <c r="Q1032">
        <v>5</v>
      </c>
      <c r="R1032">
        <v>93</v>
      </c>
      <c r="S1032">
        <v>52</v>
      </c>
      <c r="T1032" t="s">
        <v>58</v>
      </c>
    </row>
    <row r="1033" spans="1:20" x14ac:dyDescent="0.25">
      <c r="A1033">
        <v>22000717</v>
      </c>
      <c r="B1033" t="s">
        <v>4</v>
      </c>
      <c r="C1033" t="s">
        <v>65</v>
      </c>
      <c r="D1033">
        <v>105</v>
      </c>
      <c r="E1033">
        <v>96</v>
      </c>
      <c r="F1033">
        <v>9</v>
      </c>
      <c r="G1033">
        <v>4</v>
      </c>
      <c r="H1033" s="1">
        <v>5.4861111111111109E-3</v>
      </c>
      <c r="I1033">
        <v>2020</v>
      </c>
      <c r="J1033" t="s">
        <v>59</v>
      </c>
      <c r="K1033" s="2" t="str">
        <f>HYPERLINK("https://www.nba.com/stats/events?CFID=&amp;CFPARAMS=&amp;GameEventID=514&amp;GameID=0022000717&amp;Season=2020-21&amp;flag=1&amp;title=T.%20Mann%20cutting%20DUNK%20(14%20PTS)%20(K.%20Leonard%208%20AST)", "T. Mann cutting DUNK (14 PTS) (K. Leonard 8 AST)")</f>
        <v>T. Mann cutting DUNK (14 PTS) (K. Leonard 8 AST)</v>
      </c>
      <c r="L1033" s="2" t="str">
        <f>HYPERLINK("https://www.nba.com/game/...-vs-...-0022000717/play-by-play?watchFullGame=true", "LAC vs MIL - Q4 07:54.00")</f>
        <v>LAC vs MIL - Q4 07:54.00</v>
      </c>
      <c r="M1033">
        <v>0.72</v>
      </c>
      <c r="N1033">
        <v>93.77</v>
      </c>
      <c r="O1033">
        <v>50.8</v>
      </c>
      <c r="P1033">
        <v>4</v>
      </c>
      <c r="Q1033">
        <v>6</v>
      </c>
      <c r="R1033">
        <v>93</v>
      </c>
      <c r="S1033">
        <v>50</v>
      </c>
      <c r="T1033" t="s">
        <v>58</v>
      </c>
    </row>
    <row r="1034" spans="1:20" x14ac:dyDescent="0.25">
      <c r="A1034">
        <v>22400842</v>
      </c>
      <c r="B1034" t="s">
        <v>4</v>
      </c>
      <c r="C1034" t="s">
        <v>65</v>
      </c>
      <c r="D1034">
        <v>65</v>
      </c>
      <c r="E1034">
        <v>63</v>
      </c>
      <c r="F1034">
        <v>2</v>
      </c>
      <c r="G1034">
        <v>3</v>
      </c>
      <c r="H1034" s="1">
        <v>7.0949074074074074E-3</v>
      </c>
      <c r="I1034">
        <v>2024</v>
      </c>
      <c r="J1034" t="s">
        <v>59</v>
      </c>
      <c r="K1034" s="2" t="str">
        <f>HYPERLINK("https://www.nba.com/stats/events?CFID=&amp;CFPARAMS=&amp;GameEventID=346&amp;GameID=0022400842&amp;Season=2024-25&amp;flag=1&amp;title=D.%20Jones%20Jr.%20running%20alley-oop%20DUNK%20(13%20PTS)%20(K.%20Leonard%202%20AST)", "D. Jones Jr. running alley-oop DUNK (13 PTS) (K. Leonard 2 AST)")</f>
        <v>D. Jones Jr. running alley-oop DUNK (13 PTS) (K. Leonard 2 AST)</v>
      </c>
      <c r="L1034" s="2" t="str">
        <f>HYPERLINK("https://www.nba.com/game/...-vs-...-0022400842/play-by-play?watchFullGame=true", "LAC vs CHI - Q3 10:13.00")</f>
        <v>LAC vs CHI - Q3 10:13.00</v>
      </c>
      <c r="M1034">
        <v>4.28</v>
      </c>
      <c r="N1034">
        <v>93.96</v>
      </c>
      <c r="O1034">
        <v>41.48</v>
      </c>
      <c r="P1034">
        <v>-43</v>
      </c>
      <c r="Q1034">
        <v>4</v>
      </c>
      <c r="R1034">
        <v>93</v>
      </c>
      <c r="S1034">
        <v>41</v>
      </c>
      <c r="T1034" t="s">
        <v>58</v>
      </c>
    </row>
    <row r="1035" spans="1:20" x14ac:dyDescent="0.25">
      <c r="A1035">
        <v>22300114</v>
      </c>
      <c r="B1035" t="s">
        <v>10</v>
      </c>
      <c r="C1035" t="s">
        <v>9</v>
      </c>
      <c r="D1035">
        <v>5</v>
      </c>
      <c r="E1035">
        <v>7</v>
      </c>
      <c r="F1035">
        <v>2</v>
      </c>
      <c r="G1035">
        <v>1</v>
      </c>
      <c r="H1035" s="1">
        <v>4.5833333333333334E-3</v>
      </c>
      <c r="I1035">
        <v>2023</v>
      </c>
      <c r="J1035" t="s">
        <v>59</v>
      </c>
      <c r="K1035" s="2" t="str">
        <f>HYPERLINK("https://www.nba.com/stats/events?CFID=&amp;CFPARAMS=&amp;GameEventID=74&amp;GameID=0022300114&amp;Season=2023-24&amp;flag=1&amp;title=B.%20Hyland%203PT%20running%20(3%20PTS)%20(K.%20Leonard%201%20AST)", "B. Hyland 3PT running (3 PTS) (K. Leonard 1 AST)")</f>
        <v>B. Hyland 3PT running (3 PTS) (K. Leonard 1 AST)</v>
      </c>
      <c r="L1035" s="2" t="str">
        <f>HYPERLINK("https://www.nba.com/game/...-vs-...-0022300114/play-by-play?watchFullGame=true", "LAC vs ORL - Q1 06:36.00")</f>
        <v>LAC vs ORL - Q1 06:36.00</v>
      </c>
      <c r="M1035">
        <v>22.68</v>
      </c>
      <c r="N1035">
        <v>93.61</v>
      </c>
      <c r="O1035">
        <v>4.66</v>
      </c>
      <c r="P1035">
        <v>-227</v>
      </c>
      <c r="Q1035">
        <v>8</v>
      </c>
      <c r="R1035">
        <v>93</v>
      </c>
      <c r="S1035">
        <v>4</v>
      </c>
      <c r="T1035" t="s">
        <v>58</v>
      </c>
    </row>
    <row r="1036" spans="1:20" x14ac:dyDescent="0.25">
      <c r="A1036">
        <v>41900233</v>
      </c>
      <c r="B1036" t="s">
        <v>10</v>
      </c>
      <c r="C1036" t="s">
        <v>61</v>
      </c>
      <c r="D1036">
        <v>98</v>
      </c>
      <c r="E1036">
        <v>97</v>
      </c>
      <c r="F1036">
        <v>1</v>
      </c>
      <c r="G1036">
        <v>4</v>
      </c>
      <c r="H1036" s="1">
        <v>4.8726851851851848E-3</v>
      </c>
      <c r="I1036" t="s">
        <v>62</v>
      </c>
      <c r="J1036" t="s">
        <v>59</v>
      </c>
      <c r="K1036" s="2" t="str">
        <f>HYPERLINK("https://www.nba.com/stats/events?CFID=&amp;CFPARAMS=&amp;GameEventID=537&amp;GameID=0041900233&amp;Season=2019-20&amp;flag=1&amp;title=L.%20Williams%2023'%203PT%20%20(8%20PTS)%20(K.%20Leonard%205%20AST)", "L. Williams 23' 3PT  (8 PTS) (K. Leonard 5 AST)")</f>
        <v>L. Williams 23' 3PT  (8 PTS) (K. Leonard 5 AST)</v>
      </c>
      <c r="L1036" s="2" t="str">
        <f>HYPERLINK("https://www.nba.com/game/...-vs-...-0041900233/play-by-play?watchFullGame=true", "LAC vs DEN - Q4 07:01.00")</f>
        <v>LAC vs DEN - Q4 07:01.00</v>
      </c>
      <c r="M1036">
        <v>23.14</v>
      </c>
      <c r="N1036">
        <v>93.12</v>
      </c>
      <c r="O1036">
        <v>96.15</v>
      </c>
      <c r="P1036">
        <v>231</v>
      </c>
      <c r="Q1036">
        <v>12</v>
      </c>
      <c r="R1036">
        <v>93</v>
      </c>
      <c r="S1036">
        <v>96</v>
      </c>
      <c r="T1036" t="s">
        <v>58</v>
      </c>
    </row>
    <row r="1037" spans="1:20" x14ac:dyDescent="0.25">
      <c r="A1037">
        <v>22300618</v>
      </c>
      <c r="B1037" t="s">
        <v>4</v>
      </c>
      <c r="C1037" t="s">
        <v>65</v>
      </c>
      <c r="D1037">
        <v>7</v>
      </c>
      <c r="E1037">
        <v>5</v>
      </c>
      <c r="F1037">
        <v>2</v>
      </c>
      <c r="G1037">
        <v>1</v>
      </c>
      <c r="H1037" s="1">
        <v>6.5972222222222222E-3</v>
      </c>
      <c r="I1037">
        <v>2023</v>
      </c>
      <c r="J1037" t="s">
        <v>59</v>
      </c>
      <c r="K1037" s="2" t="str">
        <f>HYPERLINK("https://www.nba.com/stats/events?CFID=&amp;CFPARAMS=&amp;GameEventID=30&amp;GameID=0022300618&amp;Season=2023-24&amp;flag=1&amp;title=T.%20Mann%20cutting%20DUNK%20(5%20PTS)%20(K.%20Leonard%202%20AST)", "T. Mann cutting DUNK (5 PTS) (K. Leonard 2 AST)")</f>
        <v>T. Mann cutting DUNK (5 PTS) (K. Leonard 2 AST)</v>
      </c>
      <c r="L1037" s="2" t="str">
        <f>HYPERLINK("https://www.nba.com/game/...-vs-...-0022300618/play-by-play?watchFullGame=true", "LAC vs LAL - Q1 09:30.00")</f>
        <v>LAC vs LAL - Q1 09:30.00</v>
      </c>
      <c r="M1037">
        <v>0.68</v>
      </c>
      <c r="N1037">
        <v>93.74</v>
      </c>
      <c r="O1037">
        <v>49.51</v>
      </c>
      <c r="P1037">
        <v>-2</v>
      </c>
      <c r="Q1037">
        <v>6</v>
      </c>
      <c r="R1037">
        <v>93</v>
      </c>
      <c r="S1037">
        <v>49</v>
      </c>
      <c r="T1037" t="s">
        <v>58</v>
      </c>
    </row>
    <row r="1038" spans="1:20" x14ac:dyDescent="0.25">
      <c r="A1038">
        <v>41900156</v>
      </c>
      <c r="B1038" t="s">
        <v>4</v>
      </c>
      <c r="C1038" t="s">
        <v>63</v>
      </c>
      <c r="D1038">
        <v>107</v>
      </c>
      <c r="E1038">
        <v>92</v>
      </c>
      <c r="F1038">
        <v>15</v>
      </c>
      <c r="G1038">
        <v>4</v>
      </c>
      <c r="H1038" s="1">
        <v>3.3564814814814816E-3</v>
      </c>
      <c r="I1038" t="s">
        <v>68</v>
      </c>
      <c r="J1038" t="s">
        <v>59</v>
      </c>
      <c r="K1038" s="2" t="str">
        <f>HYPERLINK("https://www.nba.com/stats/events?CFID=&amp;CFPARAMS=&amp;GameEventID=560&amp;GameID=0041900156&amp;Season=2019-20&amp;flag=1&amp;title=I.%20Zubac%20dunk%20(14%20PTS)%20(K.%20Leonard%207%20AST)", "I. Zubac dunk (14 PTS) (K. Leonard 7 AST)")</f>
        <v>I. Zubac dunk (14 PTS) (K. Leonard 7 AST)</v>
      </c>
      <c r="L1038" s="2" t="str">
        <f>HYPERLINK("https://www.nba.com/game/...-vs-...-0041900156/play-by-play?watchFullGame=true", "LAC vs DAL - Q4 04:50.00")</f>
        <v>LAC vs DAL - Q4 04:50.00</v>
      </c>
      <c r="M1038">
        <v>1.79</v>
      </c>
      <c r="N1038">
        <v>93.38</v>
      </c>
      <c r="O1038">
        <v>48.11</v>
      </c>
      <c r="P1038">
        <v>-9</v>
      </c>
      <c r="Q1038">
        <v>10</v>
      </c>
      <c r="R1038">
        <v>93</v>
      </c>
      <c r="S1038">
        <v>48</v>
      </c>
      <c r="T1038" t="s">
        <v>58</v>
      </c>
    </row>
    <row r="1039" spans="1:20" x14ac:dyDescent="0.25">
      <c r="A1039">
        <v>21900035</v>
      </c>
      <c r="B1039" t="s">
        <v>4</v>
      </c>
      <c r="C1039" t="s">
        <v>63</v>
      </c>
      <c r="D1039">
        <v>88</v>
      </c>
      <c r="E1039">
        <v>93</v>
      </c>
      <c r="F1039">
        <v>5</v>
      </c>
      <c r="G1039">
        <v>4</v>
      </c>
      <c r="H1039" s="1">
        <v>7.5810185185185182E-3</v>
      </c>
      <c r="I1039">
        <v>2019</v>
      </c>
      <c r="J1039" t="s">
        <v>59</v>
      </c>
      <c r="K1039" s="2" t="str">
        <f>HYPERLINK("https://www.nba.com/stats/events?CFID=&amp;CFPARAMS=&amp;GameEventID=577&amp;GameID=0021900035&amp;Season=2019-20&amp;flag=1&amp;title=[LAC]%20Harrell%20dunk:%20Made%20(16%20PTS)%20assist:%20Leonard%20(7%20AST)", "[LAC] Harrell dunk: Made (16 PTS) assist: Leonard (7 AST)")</f>
        <v>[LAC] Harrell dunk: Made (16 PTS) assist: Leonard (7 AST)</v>
      </c>
      <c r="L1039" s="2" t="str">
        <f>HYPERLINK("https://www.nba.com/game/...-vs-...-0021900035/play-by-play?watchFullGame=true", "LAC vs PHX - Q4 10:55.00")</f>
        <v>LAC vs PHX - Q4 10:55.00</v>
      </c>
      <c r="M1039">
        <v>1.1499999999999999</v>
      </c>
      <c r="N1039">
        <v>93.77</v>
      </c>
      <c r="O1039">
        <v>49.82</v>
      </c>
      <c r="P1039">
        <v>-1</v>
      </c>
      <c r="Q1039">
        <v>6</v>
      </c>
      <c r="R1039">
        <v>93</v>
      </c>
      <c r="S1039">
        <v>49</v>
      </c>
      <c r="T1039" t="s">
        <v>58</v>
      </c>
    </row>
    <row r="1040" spans="1:20" x14ac:dyDescent="0.25">
      <c r="A1040">
        <v>22000172</v>
      </c>
      <c r="B1040" t="s">
        <v>10</v>
      </c>
      <c r="C1040" t="s">
        <v>9</v>
      </c>
      <c r="D1040">
        <v>92</v>
      </c>
      <c r="E1040">
        <v>85</v>
      </c>
      <c r="F1040">
        <v>7</v>
      </c>
      <c r="G1040">
        <v>4</v>
      </c>
      <c r="H1040" s="1">
        <v>5.1273148148148146E-3</v>
      </c>
      <c r="I1040">
        <v>2020</v>
      </c>
      <c r="J1040" t="s">
        <v>59</v>
      </c>
      <c r="K1040" s="2" t="str">
        <f>HYPERLINK("https://www.nba.com/stats/events?CFID=&amp;CFPARAMS=&amp;GameEventID=481&amp;GameID=0022000172&amp;Season=2020-21&amp;flag=1&amp;title=P.%20Beverley%203PT%20%20(9%20PTS)%20(K.%20Leonard%207%20AST)", "P. Beverley 3PT  (9 PTS) (K. Leonard 7 AST)")</f>
        <v>P. Beverley 3PT  (9 PTS) (K. Leonard 7 AST)</v>
      </c>
      <c r="L1040" s="2" t="str">
        <f>HYPERLINK("https://www.nba.com/game/...-vs-...-0022000172/play-by-play?watchFullGame=true", "LAC vs NOP - Q4 07:23.00")</f>
        <v>LAC vs NOP - Q4 07:23.00</v>
      </c>
      <c r="M1040">
        <v>22.35</v>
      </c>
      <c r="N1040">
        <v>93.61</v>
      </c>
      <c r="O1040">
        <v>5.32</v>
      </c>
      <c r="P1040">
        <v>-223</v>
      </c>
      <c r="Q1040">
        <v>8</v>
      </c>
      <c r="R1040">
        <v>93</v>
      </c>
      <c r="S1040">
        <v>5</v>
      </c>
      <c r="T1040" t="s">
        <v>58</v>
      </c>
    </row>
    <row r="1041" spans="1:20" x14ac:dyDescent="0.25">
      <c r="A1041">
        <v>22000188</v>
      </c>
      <c r="B1041" t="s">
        <v>10</v>
      </c>
      <c r="C1041" t="s">
        <v>9</v>
      </c>
      <c r="D1041">
        <v>63</v>
      </c>
      <c r="E1041">
        <v>55</v>
      </c>
      <c r="F1041">
        <v>8</v>
      </c>
      <c r="G1041">
        <v>2</v>
      </c>
      <c r="H1041" s="1">
        <v>1.25E-3</v>
      </c>
      <c r="I1041">
        <v>2020</v>
      </c>
      <c r="J1041" t="s">
        <v>59</v>
      </c>
      <c r="K1041" s="2" t="str">
        <f>HYPERLINK("https://www.nba.com/stats/events?CFID=&amp;CFPARAMS=&amp;GameEventID=285&amp;GameID=0022000188&amp;Season=2020-21&amp;flag=1&amp;title=M.%20Morris%20Sr.%203PT%20%20(11%20PTS)%20(K.%20Leonard%203%20AST)", "M. Morris Sr. 3PT  (11 PTS) (K. Leonard 3 AST)")</f>
        <v>M. Morris Sr. 3PT  (11 PTS) (K. Leonard 3 AST)</v>
      </c>
      <c r="L1041" s="2" t="str">
        <f>HYPERLINK("https://www.nba.com/game/...-vs-...-0022000188/play-by-play?watchFullGame=true", "LAC vs SAC - Q2 01:48.00")</f>
        <v>LAC vs SAC - Q2 01:48.00</v>
      </c>
      <c r="M1041">
        <v>23.37</v>
      </c>
      <c r="N1041">
        <v>93.91</v>
      </c>
      <c r="O1041">
        <v>3.26</v>
      </c>
      <c r="P1041">
        <v>-234</v>
      </c>
      <c r="Q1041">
        <v>5</v>
      </c>
      <c r="R1041">
        <v>93</v>
      </c>
      <c r="S1041">
        <v>3</v>
      </c>
      <c r="T1041" t="s">
        <v>58</v>
      </c>
    </row>
    <row r="1042" spans="1:20" x14ac:dyDescent="0.25">
      <c r="A1042">
        <v>22300244</v>
      </c>
      <c r="B1042" t="s">
        <v>4</v>
      </c>
      <c r="C1042" t="s">
        <v>64</v>
      </c>
      <c r="D1042">
        <v>9</v>
      </c>
      <c r="E1042">
        <v>7</v>
      </c>
      <c r="F1042">
        <v>2</v>
      </c>
      <c r="G1042">
        <v>1</v>
      </c>
      <c r="H1042" s="1">
        <v>5.0694444444444441E-3</v>
      </c>
      <c r="I1042">
        <v>2023</v>
      </c>
      <c r="J1042" t="s">
        <v>59</v>
      </c>
      <c r="K1042" s="2" t="str">
        <f>HYPERLINK("https://www.nba.com/stats/events?CFID=&amp;CFPARAMS=&amp;GameEventID=64&amp;GameID=0022300244&amp;Season=2023-24&amp;flag=1&amp;title=T.%20Mann%20running%20Layup%20(4%20PTS)%20(K.%20Leonard%201%20AST)", "T. Mann running Layup (4 PTS) (K. Leonard 1 AST)")</f>
        <v>T. Mann running Layup (4 PTS) (K. Leonard 1 AST)</v>
      </c>
      <c r="L1042" s="2" t="str">
        <f>HYPERLINK("https://www.nba.com/game/...-vs-...-0022300244/play-by-play?watchFullGame=true", "LAC vs DAL - Q1 07:18.00")</f>
        <v>LAC vs DAL - Q1 07:18.00</v>
      </c>
      <c r="M1042">
        <v>2.48</v>
      </c>
      <c r="N1042">
        <v>93.22</v>
      </c>
      <c r="O1042">
        <v>54.41</v>
      </c>
      <c r="P1042">
        <v>22</v>
      </c>
      <c r="Q1042">
        <v>11</v>
      </c>
      <c r="R1042">
        <v>93</v>
      </c>
      <c r="S1042">
        <v>54</v>
      </c>
      <c r="T1042" t="s">
        <v>58</v>
      </c>
    </row>
    <row r="1043" spans="1:20" x14ac:dyDescent="0.25">
      <c r="A1043">
        <v>22300568</v>
      </c>
      <c r="B1043" t="s">
        <v>4</v>
      </c>
      <c r="C1043" t="s">
        <v>64</v>
      </c>
      <c r="D1043">
        <v>2</v>
      </c>
      <c r="E1043">
        <v>0</v>
      </c>
      <c r="F1043">
        <v>2</v>
      </c>
      <c r="G1043">
        <v>1</v>
      </c>
      <c r="H1043" s="1">
        <v>8.0787037037037043E-3</v>
      </c>
      <c r="I1043">
        <v>2023</v>
      </c>
      <c r="J1043" t="s">
        <v>59</v>
      </c>
      <c r="K1043" s="2" t="str">
        <f>HYPERLINK("https://www.nba.com/stats/events?CFID=&amp;CFPARAMS=&amp;GameEventID=10&amp;GameID=0022300568&amp;Season=2023-24&amp;flag=1&amp;title=T.%20Mann%20running%20Layup%20(2%20PTS)%20(K.%20Leonard%201%20AST)", "T. Mann running Layup (2 PTS) (K. Leonard 1 AST)")</f>
        <v>T. Mann running Layup (2 PTS) (K. Leonard 1 AST)</v>
      </c>
      <c r="L1043" s="2" t="str">
        <f>HYPERLINK("https://www.nba.com/game/...-vs-...-0022300568/play-by-play?watchFullGame=true", "LAC vs OKC - Q1 11:38.00")</f>
        <v>LAC vs OKC - Q1 11:38.00</v>
      </c>
      <c r="M1043">
        <v>0.89</v>
      </c>
      <c r="N1043">
        <v>93.48</v>
      </c>
      <c r="O1043">
        <v>50.25</v>
      </c>
      <c r="P1043">
        <v>1</v>
      </c>
      <c r="Q1043">
        <v>9</v>
      </c>
      <c r="R1043">
        <v>93</v>
      </c>
      <c r="S1043">
        <v>50</v>
      </c>
      <c r="T1043" t="s">
        <v>58</v>
      </c>
    </row>
    <row r="1044" spans="1:20" x14ac:dyDescent="0.25">
      <c r="A1044">
        <v>22300280</v>
      </c>
      <c r="B1044" t="s">
        <v>10</v>
      </c>
      <c r="C1044" t="s">
        <v>9</v>
      </c>
      <c r="D1044">
        <v>54</v>
      </c>
      <c r="E1044">
        <v>72</v>
      </c>
      <c r="F1044">
        <v>18</v>
      </c>
      <c r="G1044">
        <v>3</v>
      </c>
      <c r="H1044" s="1">
        <v>7.3842592592592597E-3</v>
      </c>
      <c r="I1044">
        <v>2023</v>
      </c>
      <c r="J1044" t="s">
        <v>59</v>
      </c>
      <c r="K1044" s="2" t="str">
        <f>HYPERLINK("https://www.nba.com/stats/events?CFID=&amp;CFPARAMS=&amp;GameEventID=330&amp;GameID=0022300280&amp;Season=2023-24&amp;flag=1&amp;title=J.%20Harden%203PT%20%20(7%20PTS)%20(K.%20Leonard%203%20AST)", "J. Harden 3PT  (7 PTS) (K. Leonard 3 AST)")</f>
        <v>J. Harden 3PT  (7 PTS) (K. Leonard 3 AST)</v>
      </c>
      <c r="L1044" s="2" t="str">
        <f>HYPERLINK("https://www.nba.com/game/...-vs-...-0022300280/play-by-play?watchFullGame=true", "LAC vs GSW - Q3 10:38.00")</f>
        <v>LAC vs GSW - Q3 10:38.00</v>
      </c>
      <c r="M1044">
        <v>22.8</v>
      </c>
      <c r="N1044">
        <v>93.61</v>
      </c>
      <c r="O1044">
        <v>4.41</v>
      </c>
      <c r="P1044">
        <v>-228</v>
      </c>
      <c r="Q1044">
        <v>8</v>
      </c>
      <c r="R1044">
        <v>93</v>
      </c>
      <c r="S1044">
        <v>4</v>
      </c>
      <c r="T1044" t="s">
        <v>58</v>
      </c>
    </row>
    <row r="1045" spans="1:20" x14ac:dyDescent="0.25">
      <c r="A1045">
        <v>22300304</v>
      </c>
      <c r="B1045" t="s">
        <v>4</v>
      </c>
      <c r="C1045" t="s">
        <v>64</v>
      </c>
      <c r="D1045">
        <v>12</v>
      </c>
      <c r="E1045">
        <v>7</v>
      </c>
      <c r="F1045">
        <v>5</v>
      </c>
      <c r="G1045">
        <v>1</v>
      </c>
      <c r="H1045" s="1">
        <v>6.3888888888888893E-3</v>
      </c>
      <c r="I1045">
        <v>2023</v>
      </c>
      <c r="J1045" t="s">
        <v>59</v>
      </c>
      <c r="K1045" s="2" t="str">
        <f>HYPERLINK("https://www.nba.com/stats/events?CFID=&amp;CFPARAMS=&amp;GameEventID=27&amp;GameID=0022300304&amp;Season=2023-24&amp;flag=1&amp;title=J.%20Harden%20running%20Layup%20(2%20PTS)%20(K.%20Leonard%201%20AST)", "J. Harden running Layup (2 PTS) (K. Leonard 1 AST)")</f>
        <v>J. Harden running Layup (2 PTS) (K. Leonard 1 AST)</v>
      </c>
      <c r="L1045" s="2" t="str">
        <f>HYPERLINK("https://www.nba.com/game/...-vs-...-0022300304/play-by-play?watchFullGame=true", "LAC vs POR - Q1 09:12.00")</f>
        <v>LAC vs POR - Q1 09:12.00</v>
      </c>
      <c r="M1045">
        <v>1.23</v>
      </c>
      <c r="N1045">
        <v>93.22</v>
      </c>
      <c r="O1045">
        <v>50.98</v>
      </c>
      <c r="P1045">
        <v>5</v>
      </c>
      <c r="Q1045">
        <v>11</v>
      </c>
      <c r="R1045">
        <v>93</v>
      </c>
      <c r="S1045">
        <v>50</v>
      </c>
      <c r="T1045" t="s">
        <v>58</v>
      </c>
    </row>
    <row r="1046" spans="1:20" x14ac:dyDescent="0.25">
      <c r="A1046">
        <v>22300526</v>
      </c>
      <c r="B1046" t="s">
        <v>4</v>
      </c>
      <c r="C1046" t="s">
        <v>64</v>
      </c>
      <c r="D1046">
        <v>115</v>
      </c>
      <c r="E1046">
        <v>106</v>
      </c>
      <c r="F1046">
        <v>9</v>
      </c>
      <c r="G1046">
        <v>4</v>
      </c>
      <c r="H1046" s="1">
        <v>3.1365740740740742E-3</v>
      </c>
      <c r="I1046">
        <v>2023</v>
      </c>
      <c r="J1046" t="s">
        <v>59</v>
      </c>
      <c r="K1046" s="2" t="str">
        <f>HYPERLINK("https://www.nba.com/stats/events?CFID=&amp;CFPARAMS=&amp;GameEventID=561&amp;GameID=0022300526&amp;Season=2023-24&amp;flag=1&amp;title=J.%20Harden%20cutting%20Layup%20(12%20PTS)%20(K.%20Leonard%206%20AST)", "J. Harden cutting Layup (12 PTS) (K. Leonard 6 AST)")</f>
        <v>J. Harden cutting Layup (12 PTS) (K. Leonard 6 AST)</v>
      </c>
      <c r="L1046" s="2" t="str">
        <f>HYPERLINK("https://www.nba.com/game/...-vs-...-0022300526/play-by-play?watchFullGame=true", "LAC vs TOR - Q4 04:31.00")</f>
        <v>LAC vs TOR - Q4 04:31.00</v>
      </c>
      <c r="M1046">
        <v>1.1000000000000001</v>
      </c>
      <c r="N1046">
        <v>93.87</v>
      </c>
      <c r="O1046">
        <v>48.04</v>
      </c>
      <c r="P1046">
        <v>-10</v>
      </c>
      <c r="Q1046">
        <v>5</v>
      </c>
      <c r="R1046">
        <v>93</v>
      </c>
      <c r="S1046">
        <v>48</v>
      </c>
      <c r="T1046" t="s">
        <v>58</v>
      </c>
    </row>
    <row r="1047" spans="1:20" x14ac:dyDescent="0.25">
      <c r="A1047">
        <v>22300848</v>
      </c>
      <c r="B1047" t="s">
        <v>4</v>
      </c>
      <c r="C1047" t="s">
        <v>64</v>
      </c>
      <c r="D1047">
        <v>4</v>
      </c>
      <c r="E1047">
        <v>4</v>
      </c>
      <c r="F1047">
        <v>0</v>
      </c>
      <c r="G1047">
        <v>1</v>
      </c>
      <c r="H1047" s="1">
        <v>7.0949074074074074E-3</v>
      </c>
      <c r="I1047">
        <v>2023</v>
      </c>
      <c r="J1047" t="s">
        <v>59</v>
      </c>
      <c r="K1047" s="2" t="str">
        <f>HYPERLINK("https://www.nba.com/stats/events?CFID=&amp;CFPARAMS=&amp;GameEventID=19&amp;GameID=0022300848&amp;Season=2023-24&amp;flag=1&amp;title=D.%20Theis%20cutting%20Layup%20(2%20PTS)%20(K.%20Leonard%201%20AST)", "D. Theis cutting Layup (2 PTS) (K. Leonard 1 AST)")</f>
        <v>D. Theis cutting Layup (2 PTS) (K. Leonard 1 AST)</v>
      </c>
      <c r="L1047" s="2" t="str">
        <f>HYPERLINK("https://www.nba.com/game/...-vs-...-0022300848/play-by-play?watchFullGame=true", "LAC vs LAL - Q1 10:13.00")</f>
        <v>LAC vs LAL - Q1 10:13.00</v>
      </c>
      <c r="M1047">
        <v>1.75</v>
      </c>
      <c r="N1047">
        <v>93.08</v>
      </c>
      <c r="O1047">
        <v>47.55</v>
      </c>
      <c r="P1047">
        <v>-12</v>
      </c>
      <c r="Q1047">
        <v>13</v>
      </c>
      <c r="R1047">
        <v>93</v>
      </c>
      <c r="S1047">
        <v>47</v>
      </c>
      <c r="T1047" t="s">
        <v>58</v>
      </c>
    </row>
    <row r="1048" spans="1:20" x14ac:dyDescent="0.25">
      <c r="A1048">
        <v>41900155</v>
      </c>
      <c r="B1048" t="s">
        <v>4</v>
      </c>
      <c r="C1048" t="s">
        <v>69</v>
      </c>
      <c r="D1048">
        <v>78</v>
      </c>
      <c r="E1048">
        <v>52</v>
      </c>
      <c r="F1048">
        <v>26</v>
      </c>
      <c r="G1048">
        <v>3</v>
      </c>
      <c r="H1048" s="1">
        <v>8.1250000000000003E-3</v>
      </c>
      <c r="I1048" t="s">
        <v>68</v>
      </c>
      <c r="J1048" t="s">
        <v>59</v>
      </c>
      <c r="K1048" s="2" t="str">
        <f>HYPERLINK("https://www.nba.com/stats/events?CFID=&amp;CFPARAMS=&amp;GameEventID=368&amp;GameID=0041900155&amp;Season=2019-20&amp;flag=1&amp;title=P.%20George%20layup%20(20%20PTS)%20(K.%20Leonard%202%20AST)", "P. George layup (20 PTS) (K. Leonard 2 AST)")</f>
        <v>P. George layup (20 PTS) (K. Leonard 2 AST)</v>
      </c>
      <c r="L1048" s="2" t="str">
        <f>HYPERLINK("https://www.nba.com/game/...-vs-...-0041900155/play-by-play?watchFullGame=true", "LAC vs DAL - Q3 11:42.00")</f>
        <v>LAC vs DAL - Q3 11:42.00</v>
      </c>
      <c r="M1048">
        <v>3.2</v>
      </c>
      <c r="N1048">
        <v>93.12</v>
      </c>
      <c r="O1048">
        <v>44.68</v>
      </c>
      <c r="P1048">
        <v>-27</v>
      </c>
      <c r="Q1048">
        <v>12</v>
      </c>
      <c r="R1048">
        <v>93</v>
      </c>
      <c r="S1048">
        <v>44</v>
      </c>
      <c r="T1048" t="s">
        <v>58</v>
      </c>
    </row>
    <row r="1049" spans="1:20" x14ac:dyDescent="0.25">
      <c r="A1049">
        <v>41900234</v>
      </c>
      <c r="B1049" t="s">
        <v>10</v>
      </c>
      <c r="C1049" t="s">
        <v>61</v>
      </c>
      <c r="D1049">
        <v>55</v>
      </c>
      <c r="E1049">
        <v>50</v>
      </c>
      <c r="F1049">
        <v>5</v>
      </c>
      <c r="G1049">
        <v>3</v>
      </c>
      <c r="H1049" s="1">
        <v>6.2037037037037035E-3</v>
      </c>
      <c r="I1049" t="s">
        <v>62</v>
      </c>
      <c r="J1049" t="s">
        <v>59</v>
      </c>
      <c r="K1049" s="2" t="str">
        <f>HYPERLINK("https://www.nba.com/stats/events?CFID=&amp;CFPARAMS=&amp;GameEventID=382&amp;GameID=0041900234&amp;Season=2019-20&amp;flag=1&amp;title=M.%20Morris%20Sr.%2023'%203PT%20%20(11%20PTS)%20(K.%20Leonard%204%20AST)", "M. Morris Sr. 23' 3PT  (11 PTS) (K. Leonard 4 AST)")</f>
        <v>M. Morris Sr. 23' 3PT  (11 PTS) (K. Leonard 4 AST)</v>
      </c>
      <c r="L1049" s="2" t="str">
        <f>HYPERLINK("https://www.nba.com/game/...-vs-...-0041900234/play-by-play?watchFullGame=true", "LAC vs DEN - Q3 08:56.00")</f>
        <v>LAC vs DEN - Q3 08:56.00</v>
      </c>
      <c r="M1049">
        <v>22.91</v>
      </c>
      <c r="N1049">
        <v>93.77</v>
      </c>
      <c r="O1049">
        <v>4.24</v>
      </c>
      <c r="P1049">
        <v>-229</v>
      </c>
      <c r="Q1049">
        <v>6</v>
      </c>
      <c r="R1049">
        <v>93</v>
      </c>
      <c r="S1049">
        <v>4</v>
      </c>
      <c r="T1049" t="s">
        <v>58</v>
      </c>
    </row>
    <row r="1050" spans="1:20" x14ac:dyDescent="0.25">
      <c r="A1050">
        <v>21900035</v>
      </c>
      <c r="B1050" t="s">
        <v>4</v>
      </c>
      <c r="C1050" t="s">
        <v>69</v>
      </c>
      <c r="D1050">
        <v>94</v>
      </c>
      <c r="E1050">
        <v>101</v>
      </c>
      <c r="F1050">
        <v>7</v>
      </c>
      <c r="G1050">
        <v>4</v>
      </c>
      <c r="H1050" s="1">
        <v>5.5092592592592589E-3</v>
      </c>
      <c r="I1050">
        <v>2019</v>
      </c>
      <c r="J1050" t="s">
        <v>59</v>
      </c>
      <c r="K1050" s="2" t="str">
        <f>HYPERLINK("https://www.nba.com/stats/events?CFID=&amp;CFPARAMS=&amp;GameEventID=625&amp;GameID=0021900035&amp;Season=2019-20&amp;flag=1&amp;title=[LAC]%20Harrell%20layup:%20Made%20(18%20PTS)%20assist:%20Leonard%20(8%20AST)", "[LAC] Harrell layup: Made (18 PTS) assist: Leonard (8 AST)")</f>
        <v>[LAC] Harrell layup: Made (18 PTS) assist: Leonard (8 AST)</v>
      </c>
      <c r="L1050" s="2" t="str">
        <f>HYPERLINK("https://www.nba.com/game/...-vs-...-0021900035/play-by-play?watchFullGame=true", "LAC vs PHX - Q4 07:56.00")</f>
        <v>LAC vs PHX - Q4 07:56.00</v>
      </c>
      <c r="M1050">
        <v>0.23</v>
      </c>
      <c r="N1050">
        <v>94.83</v>
      </c>
      <c r="O1050">
        <v>50.31</v>
      </c>
      <c r="P1050">
        <v>2</v>
      </c>
      <c r="Q1050">
        <v>-4</v>
      </c>
      <c r="R1050">
        <v>94</v>
      </c>
      <c r="S1050">
        <v>50</v>
      </c>
      <c r="T1050" t="s">
        <v>58</v>
      </c>
    </row>
    <row r="1051" spans="1:20" x14ac:dyDescent="0.25">
      <c r="A1051">
        <v>21900035</v>
      </c>
      <c r="B1051" t="s">
        <v>4</v>
      </c>
      <c r="C1051" t="s">
        <v>69</v>
      </c>
      <c r="D1051">
        <v>119</v>
      </c>
      <c r="E1051">
        <v>127</v>
      </c>
      <c r="F1051">
        <v>8</v>
      </c>
      <c r="G1051">
        <v>4</v>
      </c>
      <c r="H1051" s="1">
        <v>6.076388888888889E-4</v>
      </c>
      <c r="I1051">
        <v>2019</v>
      </c>
      <c r="J1051" t="s">
        <v>59</v>
      </c>
      <c r="K1051" s="2" t="str">
        <f>HYPERLINK("https://www.nba.com/stats/events?CFID=&amp;CFPARAMS=&amp;GameEventID=746&amp;GameID=0021900035&amp;Season=2019-20&amp;flag=1&amp;title=[LAC]%20Harrell%20layup:%20Made%20(28%20PTS)%20assist:%20Leonard%20(10%20AST)", "[LAC] Harrell layup: Made (28 PTS) assist: Leonard (10 AST)")</f>
        <v>[LAC] Harrell layup: Made (28 PTS) assist: Leonard (10 AST)</v>
      </c>
      <c r="L1051" s="2" t="str">
        <f>HYPERLINK("https://www.nba.com/game/...-vs-...-0021900035/play-by-play?watchFullGame=true", "LAC vs PHX - Q4 00:52.50")</f>
        <v>LAC vs PHX - Q4 00:52.50</v>
      </c>
      <c r="M1051">
        <v>0.28000000000000003</v>
      </c>
      <c r="N1051">
        <v>94.96</v>
      </c>
      <c r="O1051">
        <v>50.56</v>
      </c>
      <c r="P1051">
        <v>3</v>
      </c>
      <c r="Q1051">
        <v>-5</v>
      </c>
      <c r="R1051">
        <v>94</v>
      </c>
      <c r="S1051">
        <v>50</v>
      </c>
      <c r="T1051" t="s">
        <v>58</v>
      </c>
    </row>
    <row r="1052" spans="1:20" x14ac:dyDescent="0.25">
      <c r="A1052">
        <v>22200509</v>
      </c>
      <c r="B1052" t="s">
        <v>10</v>
      </c>
      <c r="C1052" t="s">
        <v>9</v>
      </c>
      <c r="D1052">
        <v>6</v>
      </c>
      <c r="E1052">
        <v>7</v>
      </c>
      <c r="F1052">
        <v>1</v>
      </c>
      <c r="G1052">
        <v>1</v>
      </c>
      <c r="H1052" s="1">
        <v>6.3888888888888893E-3</v>
      </c>
      <c r="I1052">
        <v>2022</v>
      </c>
      <c r="J1052" t="s">
        <v>59</v>
      </c>
      <c r="K1052" s="2" t="str">
        <f>HYPERLINK("https://www.nba.com/stats/events?CFID=&amp;CFPARAMS=&amp;GameEventID=32&amp;GameID=0022200509&amp;Season=2022-23&amp;flag=1&amp;title=M.%20Morris%20Sr.%203PT%20%20(3%20PTS)%20(K.%20Leonard%201%20AST)", "M. Morris Sr. 3PT  (3 PTS) (K. Leonard 1 AST)")</f>
        <v>M. Morris Sr. 3PT  (3 PTS) (K. Leonard 1 AST)</v>
      </c>
      <c r="L1052" s="2" t="str">
        <f>HYPERLINK("https://www.nba.com/game/...-vs-...-0022200509/play-by-play?watchFullGame=true", "LAC vs TOR - Q1 09:12.00")</f>
        <v>LAC vs TOR - Q1 09:12.00</v>
      </c>
      <c r="M1052">
        <v>22.79</v>
      </c>
      <c r="N1052">
        <v>94.69</v>
      </c>
      <c r="O1052">
        <v>95.59</v>
      </c>
      <c r="P1052">
        <v>228</v>
      </c>
      <c r="Q1052">
        <v>-3</v>
      </c>
      <c r="R1052">
        <v>94</v>
      </c>
      <c r="S1052">
        <v>95</v>
      </c>
      <c r="T1052" t="s">
        <v>58</v>
      </c>
    </row>
    <row r="1053" spans="1:20" x14ac:dyDescent="0.25">
      <c r="A1053">
        <v>21900239</v>
      </c>
      <c r="B1053" t="s">
        <v>10</v>
      </c>
      <c r="C1053" t="s">
        <v>61</v>
      </c>
      <c r="D1053">
        <v>12</v>
      </c>
      <c r="E1053">
        <v>12</v>
      </c>
      <c r="F1053">
        <v>0</v>
      </c>
      <c r="G1053">
        <v>1</v>
      </c>
      <c r="H1053" s="1">
        <v>5.6597222222222222E-3</v>
      </c>
      <c r="I1053">
        <v>2019</v>
      </c>
      <c r="J1053" t="s">
        <v>59</v>
      </c>
      <c r="K1053" s="2" t="str">
        <f>HYPERLINK("https://www.nba.com/stats/events?CFID=&amp;CFPARAMS=&amp;GameEventID=41&amp;GameID=0021900239&amp;Season=2019-20&amp;flag=1&amp;title=M.%20Harkless%2023'%203PT%20%20(3%20PTS)%20(K.%20Leonard%202%20AST)", "M. Harkless 23' 3PT  (3 PTS) (K. Leonard 2 AST)")</f>
        <v>M. Harkless 23' 3PT  (3 PTS) (K. Leonard 2 AST)</v>
      </c>
      <c r="L1053" s="2" t="str">
        <f>HYPERLINK("https://www.nba.com/game/...-vs-...-0021900239/play-by-play?watchFullGame=true", "LAC vs NOP - Q1 08:09.00")</f>
        <v>LAC vs NOP - Q1 08:09.00</v>
      </c>
      <c r="M1053">
        <v>22.58</v>
      </c>
      <c r="N1053">
        <v>94.92</v>
      </c>
      <c r="O1053">
        <v>4.83</v>
      </c>
      <c r="P1053">
        <v>-226</v>
      </c>
      <c r="Q1053">
        <v>-5</v>
      </c>
      <c r="R1053">
        <v>94</v>
      </c>
      <c r="S1053">
        <v>4</v>
      </c>
      <c r="T1053" t="s">
        <v>58</v>
      </c>
    </row>
    <row r="1054" spans="1:20" x14ac:dyDescent="0.25">
      <c r="A1054">
        <v>21900145</v>
      </c>
      <c r="B1054" t="s">
        <v>10</v>
      </c>
      <c r="C1054" t="s">
        <v>61</v>
      </c>
      <c r="D1054">
        <v>5</v>
      </c>
      <c r="E1054">
        <v>2</v>
      </c>
      <c r="F1054">
        <v>3</v>
      </c>
      <c r="G1054">
        <v>1</v>
      </c>
      <c r="H1054" s="1">
        <v>7.1990740740740739E-3</v>
      </c>
      <c r="I1054">
        <v>2019</v>
      </c>
      <c r="J1054" t="s">
        <v>59</v>
      </c>
      <c r="K1054" s="2" t="str">
        <f>HYPERLINK("https://www.nba.com/stats/events?CFID=&amp;CFPARAMS=&amp;GameEventID=17&amp;GameID=0021900145&amp;Season=2019-20&amp;flag=1&amp;title=[LAC]%20Patterson%203pt%20shot:%20Made%20(3%20PTS)%20assist:%20Leonard%20(1%20AST)", "[LAC] Patterson 3pt shot: Made (3 PTS) assist: Leonard (1 AST)")</f>
        <v>[LAC] Patterson 3pt shot: Made (3 PTS) assist: Leonard (1 AST)</v>
      </c>
      <c r="L1054" s="2" t="str">
        <f>HYPERLINK("https://www.nba.com/game/...-vs-...-0021900145/play-by-play?watchFullGame=true", "LAC vs TOR - Q1 10:22.00")</f>
        <v>LAC vs TOR - Q1 10:22.00</v>
      </c>
      <c r="M1054">
        <v>22.35</v>
      </c>
      <c r="N1054">
        <v>94.4</v>
      </c>
      <c r="O1054">
        <v>5.32</v>
      </c>
      <c r="P1054">
        <v>-223</v>
      </c>
      <c r="Q1054">
        <v>5</v>
      </c>
      <c r="R1054">
        <v>94</v>
      </c>
      <c r="S1054">
        <v>5</v>
      </c>
      <c r="T1054" t="s">
        <v>58</v>
      </c>
    </row>
    <row r="1055" spans="1:20" x14ac:dyDescent="0.25">
      <c r="A1055">
        <v>22000644</v>
      </c>
      <c r="B1055" t="s">
        <v>4</v>
      </c>
      <c r="C1055" t="s">
        <v>65</v>
      </c>
      <c r="D1055">
        <v>7</v>
      </c>
      <c r="E1055">
        <v>2</v>
      </c>
      <c r="F1055">
        <v>5</v>
      </c>
      <c r="G1055">
        <v>1</v>
      </c>
      <c r="H1055" s="1">
        <v>6.6782407407407407E-3</v>
      </c>
      <c r="I1055">
        <v>2020</v>
      </c>
      <c r="J1055" t="s">
        <v>59</v>
      </c>
      <c r="K1055" s="2" t="str">
        <f>HYPERLINK("https://www.nba.com/stats/events?CFID=&amp;CFPARAMS=&amp;GameEventID=27&amp;GameID=0022000644&amp;Season=2020-21&amp;flag=1&amp;title=P.%20George%20driving%20DUNK%20(5%20PTS)%20(K.%20Leonard%202%20AST)", "P. George driving DUNK (5 PTS) (K. Leonard 2 AST)")</f>
        <v>P. George driving DUNK (5 PTS) (K. Leonard 2 AST)</v>
      </c>
      <c r="L1055" s="2" t="str">
        <f>HYPERLINK("https://www.nba.com/game/...-vs-...-0022000644/play-by-play?watchFullGame=true", "LAC vs CHA - Q1 09:37.00")</f>
        <v>LAC vs CHA - Q1 09:37.00</v>
      </c>
      <c r="M1055">
        <v>0.57999999999999996</v>
      </c>
      <c r="N1055">
        <v>94.04</v>
      </c>
      <c r="O1055">
        <v>49.09</v>
      </c>
      <c r="P1055">
        <v>-5</v>
      </c>
      <c r="Q1055">
        <v>4</v>
      </c>
      <c r="R1055">
        <v>94</v>
      </c>
      <c r="S1055">
        <v>49</v>
      </c>
      <c r="T1055" t="s">
        <v>58</v>
      </c>
    </row>
    <row r="1056" spans="1:20" x14ac:dyDescent="0.25">
      <c r="A1056">
        <v>22000720</v>
      </c>
      <c r="B1056" t="s">
        <v>4</v>
      </c>
      <c r="C1056" t="s">
        <v>65</v>
      </c>
      <c r="D1056">
        <v>69</v>
      </c>
      <c r="E1056">
        <v>62</v>
      </c>
      <c r="F1056">
        <v>7</v>
      </c>
      <c r="G1056">
        <v>3</v>
      </c>
      <c r="H1056" s="1">
        <v>1.6666666666666668E-3</v>
      </c>
      <c r="I1056">
        <v>2020</v>
      </c>
      <c r="J1056" t="s">
        <v>59</v>
      </c>
      <c r="K1056" s="2" t="str">
        <f>HYPERLINK("https://www.nba.com/stats/events?CFID=&amp;CFPARAMS=&amp;GameEventID=399&amp;GameID=0022000720&amp;Season=2020-21&amp;flag=1&amp;title=T.%20Mann%20driving%20DUNK%20(4%20PTS)%20(K.%20Leonard%204%20AST)", "T. Mann driving DUNK (4 PTS) (K. Leonard 4 AST)")</f>
        <v>T. Mann driving DUNK (4 PTS) (K. Leonard 4 AST)</v>
      </c>
      <c r="L1056" s="2" t="str">
        <f>HYPERLINK("https://www.nba.com/game/...-vs-...-0022000720/play-by-play?watchFullGame=true", "LAC vs ORL - Q3 02:24.00")</f>
        <v>LAC vs ORL - Q3 02:24.00</v>
      </c>
      <c r="M1056">
        <v>0.28000000000000003</v>
      </c>
      <c r="N1056">
        <v>94.17</v>
      </c>
      <c r="O1056">
        <v>50.31</v>
      </c>
      <c r="P1056">
        <v>2</v>
      </c>
      <c r="Q1056">
        <v>2</v>
      </c>
      <c r="R1056">
        <v>94</v>
      </c>
      <c r="S1056">
        <v>50</v>
      </c>
      <c r="T1056" t="s">
        <v>58</v>
      </c>
    </row>
    <row r="1057" spans="1:20" x14ac:dyDescent="0.25">
      <c r="A1057">
        <v>21900436</v>
      </c>
      <c r="B1057" t="s">
        <v>4</v>
      </c>
      <c r="C1057" t="s">
        <v>69</v>
      </c>
      <c r="D1057">
        <v>83</v>
      </c>
      <c r="E1057">
        <v>66</v>
      </c>
      <c r="F1057">
        <v>17</v>
      </c>
      <c r="G1057">
        <v>3</v>
      </c>
      <c r="H1057" s="1">
        <v>6.1805555555555555E-3</v>
      </c>
      <c r="I1057">
        <v>2019</v>
      </c>
      <c r="J1057" t="s">
        <v>59</v>
      </c>
      <c r="K1057" s="2" t="str">
        <f>HYPERLINK("https://www.nba.com/stats/events?CFID=&amp;CFPARAMS=&amp;GameEventID=369&amp;GameID=0021900436&amp;Season=2019-20&amp;flag=1&amp;title=P.%20Beverley%20layup%20(8%20PTS)%20(K.%20Leonard%206%20AST)", "P. Beverley layup (8 PTS) (K. Leonard 6 AST)")</f>
        <v>P. Beverley layup (8 PTS) (K. Leonard 6 AST)</v>
      </c>
      <c r="L1057" s="2" t="str">
        <f>HYPERLINK("https://www.nba.com/game/...-vs-...-0021900436/play-by-play?watchFullGame=true", "LAC vs SAS - Q3 08:54.00")</f>
        <v>LAC vs SAS - Q3 08:54.00</v>
      </c>
      <c r="M1057">
        <v>0.89</v>
      </c>
      <c r="N1057">
        <v>94.96</v>
      </c>
      <c r="O1057">
        <v>51.78</v>
      </c>
      <c r="P1057">
        <v>9</v>
      </c>
      <c r="Q1057">
        <v>-5</v>
      </c>
      <c r="R1057">
        <v>94</v>
      </c>
      <c r="S1057">
        <v>51</v>
      </c>
      <c r="T1057" t="s">
        <v>58</v>
      </c>
    </row>
    <row r="1058" spans="1:20" x14ac:dyDescent="0.25">
      <c r="A1058">
        <v>22000366</v>
      </c>
      <c r="B1058" t="s">
        <v>10</v>
      </c>
      <c r="C1058" t="s">
        <v>9</v>
      </c>
      <c r="D1058">
        <v>3</v>
      </c>
      <c r="E1058">
        <v>0</v>
      </c>
      <c r="F1058">
        <v>3</v>
      </c>
      <c r="G1058">
        <v>1</v>
      </c>
      <c r="H1058" s="1">
        <v>7.951388888888888E-3</v>
      </c>
      <c r="I1058">
        <v>2020</v>
      </c>
      <c r="J1058" t="s">
        <v>59</v>
      </c>
      <c r="K1058" s="2" t="str">
        <f>HYPERLINK("https://www.nba.com/stats/events?CFID=&amp;CFPARAMS=&amp;GameEventID=9&amp;GameID=0022000366&amp;Season=2020-21&amp;flag=1&amp;title=L.%20Kennard%203PT%20%20(3%20PTS)%20(K.%20Leonard%201%20AST)", "L. Kennard 3PT  (3 PTS) (K. Leonard 1 AST)")</f>
        <v>L. Kennard 3PT  (3 PTS) (K. Leonard 1 AST)</v>
      </c>
      <c r="L1058" s="2" t="str">
        <f>HYPERLINK("https://www.nba.com/game/...-vs-...-0022000366/play-by-play?watchFullGame=true", "LAC vs SAC - Q1 11:27.00")</f>
        <v>LAC vs SAC - Q1 11:27.00</v>
      </c>
      <c r="M1058">
        <v>23.74</v>
      </c>
      <c r="N1058">
        <v>94.56</v>
      </c>
      <c r="O1058">
        <v>2.52</v>
      </c>
      <c r="P1058">
        <v>-237</v>
      </c>
      <c r="Q1058">
        <v>-1</v>
      </c>
      <c r="R1058">
        <v>94</v>
      </c>
      <c r="S1058">
        <v>2</v>
      </c>
      <c r="T1058" t="s">
        <v>58</v>
      </c>
    </row>
    <row r="1059" spans="1:20" x14ac:dyDescent="0.25">
      <c r="A1059">
        <v>22000400</v>
      </c>
      <c r="B1059" t="s">
        <v>4</v>
      </c>
      <c r="C1059" t="s">
        <v>64</v>
      </c>
      <c r="D1059">
        <v>18</v>
      </c>
      <c r="E1059">
        <v>12</v>
      </c>
      <c r="F1059">
        <v>6</v>
      </c>
      <c r="G1059">
        <v>1</v>
      </c>
      <c r="H1059" s="1">
        <v>2.9398148148148148E-3</v>
      </c>
      <c r="I1059">
        <v>2020</v>
      </c>
      <c r="J1059" t="s">
        <v>59</v>
      </c>
      <c r="K1059" s="2" t="str">
        <f>HYPERLINK("https://www.nba.com/stats/events?CFID=&amp;CFPARAMS=&amp;GameEventID=105&amp;GameID=0022000400&amp;Season=2020-21&amp;flag=1&amp;title=I.%20Zubac%20alley-oop%20Layup%20(2%20PTS)%20(K.%20Leonard%201%20AST)", "I. Zubac alley-oop Layup (2 PTS) (K. Leonard 1 AST)")</f>
        <v>I. Zubac alley-oop Layup (2 PTS) (K. Leonard 1 AST)</v>
      </c>
      <c r="L1059" s="2" t="str">
        <f>HYPERLINK("https://www.nba.com/game/...-vs-...-0022000400/play-by-play?watchFullGame=true", "LAC vs CHI - Q1 04:14.00")</f>
        <v>LAC vs CHI - Q1 04:14.00</v>
      </c>
      <c r="M1059">
        <v>0.74</v>
      </c>
      <c r="N1059">
        <v>94.17</v>
      </c>
      <c r="O1059">
        <v>48.6</v>
      </c>
      <c r="P1059">
        <v>-7</v>
      </c>
      <c r="Q1059">
        <v>2</v>
      </c>
      <c r="R1059">
        <v>94</v>
      </c>
      <c r="S1059">
        <v>48</v>
      </c>
      <c r="T1059" t="s">
        <v>58</v>
      </c>
    </row>
    <row r="1060" spans="1:20" x14ac:dyDescent="0.25">
      <c r="A1060">
        <v>22000509</v>
      </c>
      <c r="B1060" t="s">
        <v>4</v>
      </c>
      <c r="C1060" t="s">
        <v>64</v>
      </c>
      <c r="D1060">
        <v>9</v>
      </c>
      <c r="E1060">
        <v>11</v>
      </c>
      <c r="F1060">
        <v>2</v>
      </c>
      <c r="G1060">
        <v>1</v>
      </c>
      <c r="H1060" s="1">
        <v>5.3819444444444444E-3</v>
      </c>
      <c r="I1060">
        <v>2020</v>
      </c>
      <c r="J1060" t="s">
        <v>59</v>
      </c>
      <c r="K1060" s="2" t="str">
        <f>HYPERLINK("https://www.nba.com/stats/events?CFID=&amp;CFPARAMS=&amp;GameEventID=48&amp;GameID=0022000509&amp;Season=2020-21&amp;flag=1&amp;title=P.%20George%20driving%20reverse%20Layup%20(4%20PTS)%20(K.%20Leonard%201%20AST)", "P. George driving reverse Layup (4 PTS) (K. Leonard 1 AST)")</f>
        <v>P. George driving reverse Layup (4 PTS) (K. Leonard 1 AST)</v>
      </c>
      <c r="L1060" s="2" t="str">
        <f>HYPERLINK("https://www.nba.com/game/...-vs-...-0022000509/play-by-play?watchFullGame=true", "LAC vs MEM - Q1 07:45.00")</f>
        <v>LAC vs MEM - Q1 07:45.00</v>
      </c>
      <c r="M1060">
        <v>2.39</v>
      </c>
      <c r="N1060">
        <v>94.04</v>
      </c>
      <c r="O1060">
        <v>54.73</v>
      </c>
      <c r="P1060">
        <v>24</v>
      </c>
      <c r="Q1060">
        <v>4</v>
      </c>
      <c r="R1060">
        <v>94</v>
      </c>
      <c r="S1060">
        <v>54</v>
      </c>
      <c r="T1060" t="s">
        <v>58</v>
      </c>
    </row>
    <row r="1061" spans="1:20" x14ac:dyDescent="0.25">
      <c r="A1061">
        <v>22300807</v>
      </c>
      <c r="B1061" t="s">
        <v>4</v>
      </c>
      <c r="C1061" t="s">
        <v>64</v>
      </c>
      <c r="D1061">
        <v>58</v>
      </c>
      <c r="E1061">
        <v>59</v>
      </c>
      <c r="F1061">
        <v>1</v>
      </c>
      <c r="G1061">
        <v>3</v>
      </c>
      <c r="H1061" s="1">
        <v>7.083333333333333E-3</v>
      </c>
      <c r="I1061">
        <v>2023</v>
      </c>
      <c r="J1061" t="s">
        <v>59</v>
      </c>
      <c r="K1061" s="2" t="str">
        <f>HYPERLINK("https://www.nba.com/stats/events?CFID=&amp;CFPARAMS=&amp;GameEventID=347&amp;GameID=0022300807&amp;Season=2023-24&amp;flag=1&amp;title=I.%20Zubac%20driving%20reverse%20Layup%20(6%20PTS)%20(K.%20Leonard%203%20AST)", "I. Zubac driving reverse Layup (6 PTS) (K. Leonard 3 AST)")</f>
        <v>I. Zubac driving reverse Layup (6 PTS) (K. Leonard 3 AST)</v>
      </c>
      <c r="L1061" s="2" t="str">
        <f>HYPERLINK("https://www.nba.com/game/...-vs-...-0022300807/play-by-play?watchFullGame=true", "LAC vs MEM - Q3 10:12.00")</f>
        <v>LAC vs MEM - Q3 10:12.00</v>
      </c>
      <c r="M1061">
        <v>1.01</v>
      </c>
      <c r="N1061">
        <v>94.17</v>
      </c>
      <c r="O1061">
        <v>51.96</v>
      </c>
      <c r="P1061">
        <v>10</v>
      </c>
      <c r="Q1061">
        <v>2</v>
      </c>
      <c r="R1061">
        <v>94</v>
      </c>
      <c r="S1061">
        <v>51</v>
      </c>
      <c r="T1061" t="s">
        <v>58</v>
      </c>
    </row>
    <row r="1062" spans="1:20" x14ac:dyDescent="0.25">
      <c r="A1062">
        <v>22000867</v>
      </c>
      <c r="B1062" t="s">
        <v>10</v>
      </c>
      <c r="C1062" t="s">
        <v>9</v>
      </c>
      <c r="D1062">
        <v>63</v>
      </c>
      <c r="E1062">
        <v>43</v>
      </c>
      <c r="F1062">
        <v>20</v>
      </c>
      <c r="G1062">
        <v>2</v>
      </c>
      <c r="H1062" s="1">
        <v>2.3726851851851851E-3</v>
      </c>
      <c r="I1062">
        <v>2020</v>
      </c>
      <c r="J1062" t="s">
        <v>59</v>
      </c>
      <c r="K1062" s="2" t="str">
        <f>HYPERLINK("https://www.nba.com/stats/events?CFID=&amp;CFPARAMS=&amp;GameEventID=281&amp;GameID=0022000867&amp;Season=2020-21&amp;flag=1&amp;title=M.%20Morris%20Sr.%203PT%20running%20(8%20PTS)%20(K.%20Leonard%204%20AST)", "M. Morris Sr. 3PT running (8 PTS) (K. Leonard 4 AST)")</f>
        <v>M. Morris Sr. 3PT running (8 PTS) (K. Leonard 4 AST)</v>
      </c>
      <c r="L1062" s="2" t="str">
        <f>HYPERLINK("https://www.nba.com/game/...-vs-...-0022000867/play-by-play?watchFullGame=true", "LAC vs MIN - Q2 03:25.00")</f>
        <v>LAC vs MIN - Q2 03:25.00</v>
      </c>
      <c r="M1062">
        <v>23.57</v>
      </c>
      <c r="N1062">
        <v>94.96</v>
      </c>
      <c r="O1062">
        <v>97.13</v>
      </c>
      <c r="P1062">
        <v>236</v>
      </c>
      <c r="Q1062">
        <v>-5</v>
      </c>
      <c r="R1062">
        <v>94</v>
      </c>
      <c r="S1062">
        <v>97</v>
      </c>
      <c r="T1062" t="s">
        <v>58</v>
      </c>
    </row>
    <row r="1063" spans="1:20" x14ac:dyDescent="0.25">
      <c r="A1063">
        <v>22400943</v>
      </c>
      <c r="B1063" t="s">
        <v>10</v>
      </c>
      <c r="C1063" t="s">
        <v>9</v>
      </c>
      <c r="D1063">
        <v>32</v>
      </c>
      <c r="E1063">
        <v>45</v>
      </c>
      <c r="F1063">
        <v>13</v>
      </c>
      <c r="G1063">
        <v>2</v>
      </c>
      <c r="H1063" s="1">
        <v>4.4907407407407405E-3</v>
      </c>
      <c r="I1063">
        <v>2024</v>
      </c>
      <c r="J1063" t="s">
        <v>59</v>
      </c>
      <c r="K1063" s="2" t="str">
        <f>HYPERLINK("https://www.nba.com/stats/events?CFID=&amp;CFPARAMS=&amp;GameEventID=207&amp;GameID=0022400943&amp;Season=2024-25&amp;flag=1&amp;title=D.%20Jones%20Jr.%203PT%20%20(5%20PTS)%20(K.%20Leonard%203%20AST)", "D. Jones Jr. 3PT  (5 PTS) (K. Leonard 3 AST)")</f>
        <v>D. Jones Jr. 3PT  (5 PTS) (K. Leonard 3 AST)</v>
      </c>
      <c r="L1063" s="2" t="str">
        <f>HYPERLINK("https://www.nba.com/game/...-vs-...-0022400943/play-by-play?watchFullGame=true", "LAC vs NOP - Q2 06:28.00")</f>
        <v>LAC vs NOP - Q2 06:28.00</v>
      </c>
      <c r="M1063">
        <v>22.44</v>
      </c>
      <c r="N1063">
        <v>94.96</v>
      </c>
      <c r="O1063">
        <v>94.85</v>
      </c>
      <c r="P1063">
        <v>224</v>
      </c>
      <c r="Q1063">
        <v>-5</v>
      </c>
      <c r="R1063">
        <v>94</v>
      </c>
      <c r="S1063">
        <v>94</v>
      </c>
      <c r="T1063" t="s">
        <v>58</v>
      </c>
    </row>
    <row r="1064" spans="1:20" x14ac:dyDescent="0.25">
      <c r="A1064">
        <v>22200687</v>
      </c>
      <c r="B1064" t="s">
        <v>4</v>
      </c>
      <c r="C1064" t="s">
        <v>65</v>
      </c>
      <c r="D1064">
        <v>53</v>
      </c>
      <c r="E1064">
        <v>57</v>
      </c>
      <c r="F1064">
        <v>4</v>
      </c>
      <c r="G1064">
        <v>2</v>
      </c>
      <c r="H1064" s="1">
        <v>3.472222222222222E-3</v>
      </c>
      <c r="I1064">
        <v>2022</v>
      </c>
      <c r="J1064" t="s">
        <v>59</v>
      </c>
      <c r="K1064" s="2" t="str">
        <f>HYPERLINK("https://www.nba.com/stats/events?CFID=&amp;CFPARAMS=&amp;GameEventID=217&amp;GameID=0022200687&amp;Season=2022-23&amp;flag=1&amp;title=I.%20Zubac%20DUNK%20(8%20PTS)%20(K.%20Leonard%204%20AST)", "I. Zubac DUNK (8 PTS) (K. Leonard 4 AST)")</f>
        <v>I. Zubac DUNK (8 PTS) (K. Leonard 4 AST)</v>
      </c>
      <c r="L1064" s="2" t="str">
        <f>HYPERLINK("https://www.nba.com/game/...-vs-...-0022200687/play-by-play?watchFullGame=true", "LAC vs SAS - Q2 05:00.00")</f>
        <v>LAC vs SAS - Q2 05:00.00</v>
      </c>
      <c r="M1064">
        <v>1.63</v>
      </c>
      <c r="N1064">
        <v>94.04</v>
      </c>
      <c r="O1064">
        <v>46.81</v>
      </c>
      <c r="P1064">
        <v>-16</v>
      </c>
      <c r="Q1064">
        <v>4</v>
      </c>
      <c r="R1064">
        <v>94</v>
      </c>
      <c r="S1064">
        <v>46</v>
      </c>
      <c r="T1064" t="s">
        <v>58</v>
      </c>
    </row>
    <row r="1065" spans="1:20" x14ac:dyDescent="0.25">
      <c r="A1065">
        <v>21900436</v>
      </c>
      <c r="B1065" t="s">
        <v>4</v>
      </c>
      <c r="C1065" t="s">
        <v>63</v>
      </c>
      <c r="D1065">
        <v>89</v>
      </c>
      <c r="E1065">
        <v>71</v>
      </c>
      <c r="F1065">
        <v>18</v>
      </c>
      <c r="G1065">
        <v>3</v>
      </c>
      <c r="H1065" s="1">
        <v>4.4212962962962964E-3</v>
      </c>
      <c r="I1065">
        <v>2019</v>
      </c>
      <c r="J1065" t="s">
        <v>59</v>
      </c>
      <c r="K1065" s="2" t="str">
        <f>HYPERLINK("https://www.nba.com/stats/events?CFID=&amp;CFPARAMS=&amp;GameEventID=395&amp;GameID=0021900436&amp;Season=2019-20&amp;flag=1&amp;title=I.%20Zubac%20dunk%20(10%20PTS)%20(K.%20Leonard%207%20AST)", "I. Zubac dunk (10 PTS) (K. Leonard 7 AST)")</f>
        <v>I. Zubac dunk (10 PTS) (K. Leonard 7 AST)</v>
      </c>
      <c r="L1065" s="2" t="str">
        <f>HYPERLINK("https://www.nba.com/game/...-vs-...-0021900436/play-by-play?watchFullGame=true", "LAC vs SAS - Q3 06:22.00")</f>
        <v>LAC vs SAS - Q3 06:22.00</v>
      </c>
      <c r="M1065">
        <v>0.6</v>
      </c>
      <c r="N1065">
        <v>94.43</v>
      </c>
      <c r="O1065">
        <v>50.56</v>
      </c>
      <c r="P1065">
        <v>3</v>
      </c>
      <c r="Q1065">
        <v>50</v>
      </c>
      <c r="R1065">
        <v>94</v>
      </c>
      <c r="S1065">
        <v>50</v>
      </c>
      <c r="T1065" t="s">
        <v>58</v>
      </c>
    </row>
    <row r="1066" spans="1:20" x14ac:dyDescent="0.25">
      <c r="A1066">
        <v>22201041</v>
      </c>
      <c r="B1066" t="s">
        <v>10</v>
      </c>
      <c r="C1066" t="s">
        <v>9</v>
      </c>
      <c r="D1066">
        <v>72</v>
      </c>
      <c r="E1066">
        <v>70</v>
      </c>
      <c r="F1066">
        <v>2</v>
      </c>
      <c r="G1066">
        <v>3</v>
      </c>
      <c r="H1066" s="1">
        <v>5.7523148148148151E-3</v>
      </c>
      <c r="I1066">
        <v>2022</v>
      </c>
      <c r="J1066" t="s">
        <v>59</v>
      </c>
      <c r="K1066" s="2" t="str">
        <f>HYPERLINK("https://www.nba.com/stats/events?CFID=&amp;CFPARAMS=&amp;GameEventID=371&amp;GameID=0022201041&amp;Season=2022-23&amp;flag=1&amp;title=R.%20Westbrook%203PT%20%20(11%20PTS)%20(K.%20Leonard%202%20AST)", "R. Westbrook 3PT  (11 PTS) (K. Leonard 2 AST)")</f>
        <v>R. Westbrook 3PT  (11 PTS) (K. Leonard 2 AST)</v>
      </c>
      <c r="L1066" s="2" t="str">
        <f>HYPERLINK("https://www.nba.com/game/...-vs-...-0022201041/play-by-play?watchFullGame=true", "LAC vs GSW - Q3 08:17.00")</f>
        <v>LAC vs GSW - Q3 08:17.00</v>
      </c>
      <c r="M1066">
        <v>23.04</v>
      </c>
      <c r="N1066">
        <v>94.92</v>
      </c>
      <c r="O1066">
        <v>3.92</v>
      </c>
      <c r="P1066">
        <v>-230</v>
      </c>
      <c r="Q1066">
        <v>-5</v>
      </c>
      <c r="R1066">
        <v>94</v>
      </c>
      <c r="S1066">
        <v>3</v>
      </c>
      <c r="T1066" t="s">
        <v>58</v>
      </c>
    </row>
    <row r="1067" spans="1:20" x14ac:dyDescent="0.25">
      <c r="A1067">
        <v>22300280</v>
      </c>
      <c r="B1067" t="s">
        <v>4</v>
      </c>
      <c r="C1067" t="s">
        <v>64</v>
      </c>
      <c r="D1067">
        <v>58</v>
      </c>
      <c r="E1067">
        <v>74</v>
      </c>
      <c r="F1067">
        <v>16</v>
      </c>
      <c r="G1067">
        <v>3</v>
      </c>
      <c r="H1067" s="1">
        <v>6.7939814814814816E-3</v>
      </c>
      <c r="I1067">
        <v>2023</v>
      </c>
      <c r="J1067" t="s">
        <v>59</v>
      </c>
      <c r="K1067" s="2" t="str">
        <f>HYPERLINK("https://www.nba.com/stats/events?CFID=&amp;CFPARAMS=&amp;GameEventID=339&amp;GameID=0022300280&amp;Season=2023-24&amp;flag=1&amp;title=J.%20Harden%20running%20Layup%20(9%20PTS)%20(K.%20Leonard%204%20AST)", "J. Harden running Layup (9 PTS) (K. Leonard 4 AST)")</f>
        <v>J. Harden running Layup (9 PTS) (K. Leonard 4 AST)</v>
      </c>
      <c r="L1067" s="2" t="str">
        <f>HYPERLINK("https://www.nba.com/game/...-vs-...-0022300280/play-by-play?watchFullGame=true", "LAC vs GSW - Q3 09:47.00")</f>
        <v>LAC vs GSW - Q3 09:47.00</v>
      </c>
      <c r="M1067">
        <v>1.85</v>
      </c>
      <c r="N1067">
        <v>94.27</v>
      </c>
      <c r="O1067">
        <v>46.32</v>
      </c>
      <c r="P1067">
        <v>-18</v>
      </c>
      <c r="Q1067">
        <v>1</v>
      </c>
      <c r="R1067">
        <v>94</v>
      </c>
      <c r="S1067">
        <v>46</v>
      </c>
      <c r="T1067" t="s">
        <v>58</v>
      </c>
    </row>
    <row r="1068" spans="1:20" x14ac:dyDescent="0.25">
      <c r="A1068">
        <v>22400671</v>
      </c>
      <c r="B1068" t="s">
        <v>10</v>
      </c>
      <c r="C1068" t="s">
        <v>9</v>
      </c>
      <c r="D1068">
        <v>38</v>
      </c>
      <c r="E1068">
        <v>36</v>
      </c>
      <c r="F1068">
        <v>2</v>
      </c>
      <c r="G1068">
        <v>2</v>
      </c>
      <c r="H1068" s="1">
        <v>5.8449074074074072E-3</v>
      </c>
      <c r="I1068">
        <v>2024</v>
      </c>
      <c r="J1068" t="s">
        <v>59</v>
      </c>
      <c r="K1068" s="2" t="str">
        <f>HYPERLINK("https://www.nba.com/stats/events?CFID=&amp;CFPARAMS=&amp;GameEventID=209&amp;GameID=0022400671&amp;Season=2024-25&amp;flag=1&amp;title=D.%20Jones%20Jr.%203PT%20%20(7%20PTS)%20(K.%20Leonard%202%20AST)", "D. Jones Jr. 3PT  (7 PTS) (K. Leonard 2 AST)")</f>
        <v>D. Jones Jr. 3PT  (7 PTS) (K. Leonard 2 AST)</v>
      </c>
      <c r="L1068" s="2" t="str">
        <f>HYPERLINK("https://www.nba.com/game/...-vs-...-0022400671/play-by-play?watchFullGame=true", "LAC vs SAS - Q2 08:25.00")</f>
        <v>LAC vs SAS - Q2 08:25.00</v>
      </c>
      <c r="M1068">
        <v>22.55</v>
      </c>
      <c r="N1068">
        <v>94.04</v>
      </c>
      <c r="O1068">
        <v>95.1</v>
      </c>
      <c r="P1068">
        <v>225</v>
      </c>
      <c r="Q1068">
        <v>4</v>
      </c>
      <c r="R1068">
        <v>94</v>
      </c>
      <c r="S1068">
        <v>95</v>
      </c>
      <c r="T1068" t="s">
        <v>58</v>
      </c>
    </row>
    <row r="1069" spans="1:20" x14ac:dyDescent="0.25">
      <c r="A1069">
        <v>22000625</v>
      </c>
      <c r="B1069" t="s">
        <v>4</v>
      </c>
      <c r="C1069" t="s">
        <v>65</v>
      </c>
      <c r="D1069">
        <v>13</v>
      </c>
      <c r="E1069">
        <v>14</v>
      </c>
      <c r="F1069">
        <v>1</v>
      </c>
      <c r="G1069">
        <v>1</v>
      </c>
      <c r="H1069" s="1">
        <v>4.1666666666666666E-3</v>
      </c>
      <c r="I1069">
        <v>2020</v>
      </c>
      <c r="J1069" t="s">
        <v>59</v>
      </c>
      <c r="K1069" s="2" t="str">
        <f>HYPERLINK("https://www.nba.com/stats/events?CFID=&amp;CFPARAMS=&amp;GameEventID=51&amp;GameID=0022000625&amp;Season=2020-21&amp;flag=1&amp;title=I.%20Zubac%20cutting%20DUNK%20(4%20PTS)%20(K.%20Leonard%202%20AST)", "I. Zubac cutting DUNK (4 PTS) (K. Leonard 2 AST)")</f>
        <v>I. Zubac cutting DUNK (4 PTS) (K. Leonard 2 AST)</v>
      </c>
      <c r="L1069" s="2" t="str">
        <f>HYPERLINK("https://www.nba.com/game/...-vs-...-0022000625/play-by-play?watchFullGame=true", "LAC vs DAL - Q1 06:00.00")</f>
        <v>LAC vs DAL - Q1 06:00.00</v>
      </c>
      <c r="M1069">
        <v>0.25</v>
      </c>
      <c r="N1069">
        <v>94.17</v>
      </c>
      <c r="O1069">
        <v>49.82</v>
      </c>
      <c r="P1069">
        <v>-1</v>
      </c>
      <c r="Q1069">
        <v>2</v>
      </c>
      <c r="R1069">
        <v>94</v>
      </c>
      <c r="S1069">
        <v>49</v>
      </c>
      <c r="T1069" t="s">
        <v>58</v>
      </c>
    </row>
    <row r="1070" spans="1:20" x14ac:dyDescent="0.25">
      <c r="A1070">
        <v>21900239</v>
      </c>
      <c r="B1070" t="s">
        <v>4</v>
      </c>
      <c r="C1070" t="s">
        <v>63</v>
      </c>
      <c r="D1070">
        <v>59</v>
      </c>
      <c r="E1070">
        <v>37</v>
      </c>
      <c r="F1070">
        <v>22</v>
      </c>
      <c r="G1070">
        <v>2</v>
      </c>
      <c r="H1070" s="1">
        <v>4.5023148148148149E-3</v>
      </c>
      <c r="I1070">
        <v>2019</v>
      </c>
      <c r="J1070" t="s">
        <v>59</v>
      </c>
      <c r="K1070" s="2" t="str">
        <f>HYPERLINK("https://www.nba.com/stats/events?CFID=&amp;CFPARAMS=&amp;GameEventID=251&amp;GameID=0021900239&amp;Season=2019-20&amp;flag=1&amp;title=M.%20Harrell%20dunk%20(8%20PTS)%20(K.%20Leonard%204%20AST)", "M. Harrell dunk (8 PTS) (K. Leonard 4 AST)")</f>
        <v>M. Harrell dunk (8 PTS) (K. Leonard 4 AST)</v>
      </c>
      <c r="L1070" s="2" t="str">
        <f>HYPERLINK("https://www.nba.com/game/...-vs-...-0021900239/play-by-play?watchFullGame=true", "LAC vs NOP - Q2 06:29.00")</f>
        <v>LAC vs NOP - Q2 06:29.00</v>
      </c>
      <c r="M1070">
        <v>0.94</v>
      </c>
      <c r="N1070">
        <v>94</v>
      </c>
      <c r="O1070">
        <v>49.93</v>
      </c>
      <c r="P1070">
        <v>94</v>
      </c>
      <c r="Q1070">
        <v>4</v>
      </c>
      <c r="R1070">
        <v>94</v>
      </c>
      <c r="S1070">
        <v>49</v>
      </c>
      <c r="T1070" t="s">
        <v>58</v>
      </c>
    </row>
    <row r="1071" spans="1:20" x14ac:dyDescent="0.25">
      <c r="A1071">
        <v>21900499</v>
      </c>
      <c r="B1071" t="s">
        <v>10</v>
      </c>
      <c r="C1071" t="s">
        <v>61</v>
      </c>
      <c r="D1071">
        <v>57</v>
      </c>
      <c r="E1071">
        <v>40</v>
      </c>
      <c r="F1071">
        <v>17</v>
      </c>
      <c r="G1071">
        <v>2</v>
      </c>
      <c r="H1071" s="1">
        <v>5.6365740740740747E-4</v>
      </c>
      <c r="I1071">
        <v>2019</v>
      </c>
      <c r="J1071" t="s">
        <v>59</v>
      </c>
      <c r="K1071" s="2" t="str">
        <f>HYPERLINK("https://www.nba.com/stats/events?CFID=&amp;CFPARAMS=&amp;GameEventID=324&amp;GameID=0021900499&amp;Season=2019-20&amp;flag=1&amp;title=L.%20Shamet%2024'%203PT%20%20(6%20PTS)%20(K.%20Leonard%205%20AST)", "L. Shamet 24' 3PT  (6 PTS) (K. Leonard 5 AST)")</f>
        <v>L. Shamet 24' 3PT  (6 PTS) (K. Leonard 5 AST)</v>
      </c>
      <c r="L1071" s="2" t="str">
        <f>HYPERLINK("https://www.nba.com/game/...-vs-...-0021900499/play-by-play?watchFullGame=true", "LAC vs SAC - Q2 00:48.70")</f>
        <v>LAC vs SAC - Q2 00:48.70</v>
      </c>
      <c r="M1071">
        <v>23.86</v>
      </c>
      <c r="N1071">
        <v>94.56</v>
      </c>
      <c r="O1071">
        <v>2.27</v>
      </c>
      <c r="P1071">
        <v>-239</v>
      </c>
      <c r="Q1071">
        <v>-1</v>
      </c>
      <c r="R1071">
        <v>94</v>
      </c>
      <c r="S1071">
        <v>2</v>
      </c>
      <c r="T1071" t="s">
        <v>58</v>
      </c>
    </row>
    <row r="1072" spans="1:20" x14ac:dyDescent="0.25">
      <c r="A1072">
        <v>22200991</v>
      </c>
      <c r="B1072" t="s">
        <v>4</v>
      </c>
      <c r="C1072" t="s">
        <v>65</v>
      </c>
      <c r="D1072">
        <v>8</v>
      </c>
      <c r="E1072">
        <v>11</v>
      </c>
      <c r="F1072">
        <v>3</v>
      </c>
      <c r="G1072">
        <v>1</v>
      </c>
      <c r="H1072" s="1">
        <v>3.5763888888888889E-3</v>
      </c>
      <c r="I1072">
        <v>2022</v>
      </c>
      <c r="J1072" t="s">
        <v>59</v>
      </c>
      <c r="K1072" s="2" t="str">
        <f>HYPERLINK("https://www.nba.com/stats/events?CFID=&amp;CFPARAMS=&amp;GameEventID=65&amp;GameID=0022200991&amp;Season=2022-23&amp;flag=1&amp;title=I.%20Zubac%20DUNK%20(2%20PTS)%20(K.%20Leonard%201%20AST)", "I. Zubac DUNK (2 PTS) (K. Leonard 1 AST)")</f>
        <v>I. Zubac DUNK (2 PTS) (K. Leonard 1 AST)</v>
      </c>
      <c r="L1072" s="2" t="str">
        <f>HYPERLINK("https://www.nba.com/game/...-vs-...-0022200991/play-by-play?watchFullGame=true", "LAC vs TOR - Q1 05:09.00")</f>
        <v>LAC vs TOR - Q1 05:09.00</v>
      </c>
      <c r="M1072">
        <v>0.39</v>
      </c>
      <c r="N1072">
        <v>94</v>
      </c>
      <c r="O1072">
        <v>50</v>
      </c>
      <c r="P1072">
        <v>94</v>
      </c>
      <c r="Q1072">
        <v>4</v>
      </c>
      <c r="R1072">
        <v>94</v>
      </c>
      <c r="S1072">
        <v>50</v>
      </c>
      <c r="T1072" t="s">
        <v>58</v>
      </c>
    </row>
    <row r="1073" spans="1:20" x14ac:dyDescent="0.25">
      <c r="A1073">
        <v>22300637</v>
      </c>
      <c r="B1073" t="s">
        <v>4</v>
      </c>
      <c r="C1073" t="s">
        <v>64</v>
      </c>
      <c r="D1073">
        <v>13</v>
      </c>
      <c r="E1073">
        <v>6</v>
      </c>
      <c r="F1073">
        <v>7</v>
      </c>
      <c r="G1073">
        <v>1</v>
      </c>
      <c r="H1073" s="1">
        <v>4.9074074074074072E-3</v>
      </c>
      <c r="I1073">
        <v>2023</v>
      </c>
      <c r="J1073" t="s">
        <v>59</v>
      </c>
      <c r="K1073" s="2" t="str">
        <f>HYPERLINK("https://www.nba.com/stats/events?CFID=&amp;CFPARAMS=&amp;GameEventID=52&amp;GameID=0022300637&amp;Season=2023-24&amp;flag=1&amp;title=T.%20Mann%20cutting%20finger%20roll%20Layup%20(2%20PTS)%20(K.%20Leonard%201%20AST)", "T. Mann cutting finger roll Layup (2 PTS) (K. Leonard 1 AST)")</f>
        <v>T. Mann cutting finger roll Layup (2 PTS) (K. Leonard 1 AST)</v>
      </c>
      <c r="L1073" s="2" t="str">
        <f>HYPERLINK("https://www.nba.com/game/...-vs-...-0022300637/play-by-play?watchFullGame=true", "LAC vs TOR - Q1 07:04.00")</f>
        <v>LAC vs TOR - Q1 07:04.00</v>
      </c>
      <c r="M1073">
        <v>0.5</v>
      </c>
      <c r="N1073">
        <v>94.3</v>
      </c>
      <c r="O1073">
        <v>50.98</v>
      </c>
      <c r="P1073">
        <v>5</v>
      </c>
      <c r="Q1073">
        <v>1</v>
      </c>
      <c r="R1073">
        <v>94</v>
      </c>
      <c r="S1073">
        <v>50</v>
      </c>
      <c r="T1073" t="s">
        <v>58</v>
      </c>
    </row>
    <row r="1074" spans="1:20" x14ac:dyDescent="0.25">
      <c r="A1074">
        <v>22300708</v>
      </c>
      <c r="B1074" t="s">
        <v>4</v>
      </c>
      <c r="C1074" t="s">
        <v>64</v>
      </c>
      <c r="D1074">
        <v>94</v>
      </c>
      <c r="E1074">
        <v>83</v>
      </c>
      <c r="F1074">
        <v>11</v>
      </c>
      <c r="G1074">
        <v>4</v>
      </c>
      <c r="H1074" s="1">
        <v>1.1574074074074073E-3</v>
      </c>
      <c r="I1074">
        <v>2023</v>
      </c>
      <c r="J1074" t="s">
        <v>59</v>
      </c>
      <c r="K1074" s="2" t="str">
        <f>HYPERLINK("https://www.nba.com/stats/events?CFID=&amp;CFPARAMS=&amp;GameEventID=528&amp;GameID=0022300708&amp;Season=2023-24&amp;flag=1&amp;title=M.%20Plumlee%20Layup%20(5%20PTS)%20(K.%20Leonard%204%20AST)", "M. Plumlee Layup (5 PTS) (K. Leonard 4 AST)")</f>
        <v>M. Plumlee Layup (5 PTS) (K. Leonard 4 AST)</v>
      </c>
      <c r="L1074" s="2" t="str">
        <f>HYPERLINK("https://www.nba.com/game/...-vs-...-0022300708/play-by-play?watchFullGame=true", "LAC vs MIA - Q4 01:40.00")</f>
        <v>LAC vs MIA - Q4 01:40.00</v>
      </c>
      <c r="M1074">
        <v>1.29</v>
      </c>
      <c r="N1074">
        <v>94.83</v>
      </c>
      <c r="O1074">
        <v>47.55</v>
      </c>
      <c r="P1074">
        <v>-12</v>
      </c>
      <c r="Q1074">
        <v>-4</v>
      </c>
      <c r="R1074">
        <v>94</v>
      </c>
      <c r="S1074">
        <v>47</v>
      </c>
      <c r="T1074" t="s">
        <v>58</v>
      </c>
    </row>
    <row r="1075" spans="1:20" x14ac:dyDescent="0.25">
      <c r="A1075">
        <v>22200239</v>
      </c>
      <c r="B1075" t="s">
        <v>10</v>
      </c>
      <c r="C1075" t="s">
        <v>9</v>
      </c>
      <c r="D1075">
        <v>47</v>
      </c>
      <c r="E1075">
        <v>33</v>
      </c>
      <c r="F1075">
        <v>14</v>
      </c>
      <c r="G1075">
        <v>2</v>
      </c>
      <c r="H1075" s="1">
        <v>6.2847222222222219E-3</v>
      </c>
      <c r="I1075">
        <v>2022</v>
      </c>
      <c r="J1075" t="s">
        <v>59</v>
      </c>
      <c r="K1075" s="2" t="str">
        <f>HYPERLINK("https://www.nba.com/stats/events?CFID=&amp;CFPARAMS=&amp;GameEventID=177&amp;GameID=0022200239&amp;Season=2022-23&amp;flag=1&amp;title=N.%20Powell%203PT%20%20(11%20PTS)%20(K.%20Leonard%202%20AST)", "N. Powell 3PT  (11 PTS) (K. Leonard 2 AST)")</f>
        <v>N. Powell 3PT  (11 PTS) (K. Leonard 2 AST)</v>
      </c>
      <c r="L1075" s="2" t="str">
        <f>HYPERLINK("https://www.nba.com/game/...-vs-...-0022200239/play-by-play?watchFullGame=true", "LAC vs SAS - Q2 09:03.00")</f>
        <v>LAC vs SAS - Q2 09:03.00</v>
      </c>
      <c r="M1075">
        <v>23.04</v>
      </c>
      <c r="N1075">
        <v>94</v>
      </c>
      <c r="O1075">
        <v>3.92</v>
      </c>
      <c r="P1075">
        <v>-230</v>
      </c>
      <c r="Q1075">
        <v>4</v>
      </c>
      <c r="R1075">
        <v>94</v>
      </c>
      <c r="S1075">
        <v>3</v>
      </c>
      <c r="T1075" t="s">
        <v>58</v>
      </c>
    </row>
    <row r="1076" spans="1:20" x14ac:dyDescent="0.25">
      <c r="A1076">
        <v>22200649</v>
      </c>
      <c r="B1076" t="s">
        <v>4</v>
      </c>
      <c r="C1076" t="s">
        <v>65</v>
      </c>
      <c r="D1076">
        <v>13</v>
      </c>
      <c r="E1076">
        <v>16</v>
      </c>
      <c r="F1076">
        <v>3</v>
      </c>
      <c r="G1076">
        <v>1</v>
      </c>
      <c r="H1076" s="1">
        <v>4.5833333333333334E-3</v>
      </c>
      <c r="I1076">
        <v>2022</v>
      </c>
      <c r="J1076" t="s">
        <v>59</v>
      </c>
      <c r="K1076" s="2" t="str">
        <f>HYPERLINK("https://www.nba.com/stats/events?CFID=&amp;CFPARAMS=&amp;GameEventID=57&amp;GameID=0022200649&amp;Season=2022-23&amp;flag=1&amp;title=I.%20Zubac%20DUNK%20(4%20PTS)%20(K.%20Leonard%201%20AST)", "I. Zubac DUNK (4 PTS) (K. Leonard 1 AST)")</f>
        <v>I. Zubac DUNK (4 PTS) (K. Leonard 1 AST)</v>
      </c>
      <c r="L1076" s="2" t="str">
        <f>HYPERLINK("https://www.nba.com/game/...-vs-...-0022200649/play-by-play?watchFullGame=true", "LAC vs HOU - Q1 06:36.00")</f>
        <v>LAC vs HOU - Q1 06:36.00</v>
      </c>
      <c r="M1076">
        <v>0.25</v>
      </c>
      <c r="N1076">
        <v>94.22</v>
      </c>
      <c r="O1076">
        <v>50.34</v>
      </c>
      <c r="P1076">
        <v>2</v>
      </c>
      <c r="Q1076">
        <v>2</v>
      </c>
      <c r="R1076">
        <v>94</v>
      </c>
      <c r="S1076">
        <v>50</v>
      </c>
      <c r="T1076" t="s">
        <v>58</v>
      </c>
    </row>
    <row r="1077" spans="1:20" x14ac:dyDescent="0.25">
      <c r="A1077">
        <v>22300807</v>
      </c>
      <c r="B1077" t="s">
        <v>4</v>
      </c>
      <c r="C1077" t="s">
        <v>65</v>
      </c>
      <c r="D1077">
        <v>60</v>
      </c>
      <c r="E1077">
        <v>61</v>
      </c>
      <c r="F1077">
        <v>1</v>
      </c>
      <c r="G1077">
        <v>3</v>
      </c>
      <c r="H1077" s="1">
        <v>6.6782407407407407E-3</v>
      </c>
      <c r="I1077">
        <v>2023</v>
      </c>
      <c r="J1077" t="s">
        <v>59</v>
      </c>
      <c r="K1077" s="2" t="str">
        <f>HYPERLINK("https://www.nba.com/stats/events?CFID=&amp;CFPARAMS=&amp;GameEventID=351&amp;GameID=0022300807&amp;Season=2023-24&amp;flag=1&amp;title=I.%20Zubac%20driving%20DUNK%20(8%20PTS)%20(K.%20Leonard%204%20AST)", "I. Zubac driving DUNK (8 PTS) (K. Leonard 4 AST)")</f>
        <v>I. Zubac driving DUNK (8 PTS) (K. Leonard 4 AST)</v>
      </c>
      <c r="L1077" s="2" t="str">
        <f>HYPERLINK("https://www.nba.com/game/...-vs-...-0022300807/play-by-play?watchFullGame=true", "LAC vs MEM - Q3 09:37.00")</f>
        <v>LAC vs MEM - Q3 09:37.00</v>
      </c>
      <c r="M1077">
        <v>0.34</v>
      </c>
      <c r="N1077">
        <v>94.17</v>
      </c>
      <c r="O1077">
        <v>49.51</v>
      </c>
      <c r="P1077">
        <v>-2</v>
      </c>
      <c r="Q1077">
        <v>2</v>
      </c>
      <c r="R1077">
        <v>94</v>
      </c>
      <c r="S1077">
        <v>49</v>
      </c>
      <c r="T1077" t="s">
        <v>58</v>
      </c>
    </row>
    <row r="1078" spans="1:20" x14ac:dyDescent="0.25">
      <c r="A1078">
        <v>22300486</v>
      </c>
      <c r="B1078" t="s">
        <v>10</v>
      </c>
      <c r="C1078" t="s">
        <v>9</v>
      </c>
      <c r="D1078">
        <v>13</v>
      </c>
      <c r="E1078">
        <v>15</v>
      </c>
      <c r="F1078">
        <v>2</v>
      </c>
      <c r="G1078">
        <v>1</v>
      </c>
      <c r="H1078" s="1">
        <v>5.0462962962962961E-3</v>
      </c>
      <c r="I1078">
        <v>2023</v>
      </c>
      <c r="J1078" t="s">
        <v>59</v>
      </c>
      <c r="K1078" s="2" t="str">
        <f>HYPERLINK("https://www.nba.com/stats/events?CFID=&amp;CFPARAMS=&amp;GameEventID=51&amp;GameID=0022300486&amp;Season=2023-24&amp;flag=1&amp;title=T.%20Mann%203PT%20%20(3%20PTS)%20(K.%20Leonard%201%20AST)", "T. Mann 3PT  (3 PTS) (K. Leonard 1 AST)")</f>
        <v>T. Mann 3PT  (3 PTS) (K. Leonard 1 AST)</v>
      </c>
      <c r="L1078" s="2" t="str">
        <f>HYPERLINK("https://www.nba.com/game/...-vs-...-0022300486/play-by-play?watchFullGame=true", "LAC vs NOP - Q1 07:16.00")</f>
        <v>LAC vs NOP - Q1 07:16.00</v>
      </c>
      <c r="M1078">
        <v>22.43</v>
      </c>
      <c r="N1078">
        <v>94.17</v>
      </c>
      <c r="O1078">
        <v>5.15</v>
      </c>
      <c r="P1078">
        <v>-224</v>
      </c>
      <c r="Q1078">
        <v>2</v>
      </c>
      <c r="R1078">
        <v>94</v>
      </c>
      <c r="S1078">
        <v>5</v>
      </c>
      <c r="T1078" t="s">
        <v>58</v>
      </c>
    </row>
    <row r="1079" spans="1:20" x14ac:dyDescent="0.25">
      <c r="A1079">
        <v>22301028</v>
      </c>
      <c r="B1079" t="s">
        <v>4</v>
      </c>
      <c r="C1079" t="s">
        <v>64</v>
      </c>
      <c r="D1079">
        <v>23</v>
      </c>
      <c r="E1079">
        <v>30</v>
      </c>
      <c r="F1079">
        <v>7</v>
      </c>
      <c r="G1079">
        <v>1</v>
      </c>
      <c r="H1079" s="1">
        <v>1.6666666666666668E-3</v>
      </c>
      <c r="I1079">
        <v>2023</v>
      </c>
      <c r="J1079" t="s">
        <v>59</v>
      </c>
      <c r="K1079" s="2" t="str">
        <f>HYPERLINK("https://www.nba.com/stats/events?CFID=&amp;CFPARAMS=&amp;GameEventID=105&amp;GameID=0022301028&amp;Season=2023-24&amp;flag=1&amp;title=I.%20Zubac%20reverse%20Layup%20(5%20PTS)%20(K.%20Leonard%202%20AST)", "I. Zubac reverse Layup (5 PTS) (K. Leonard 2 AST)")</f>
        <v>I. Zubac reverse Layup (5 PTS) (K. Leonard 2 AST)</v>
      </c>
      <c r="L1079" s="2" t="str">
        <f>HYPERLINK("https://www.nba.com/game/...-vs-...-0022301028/play-by-play?watchFullGame=true", "LAC vs PHI - Q1 02:24.00")</f>
        <v>LAC vs PHI - Q1 02:24.00</v>
      </c>
      <c r="M1079">
        <v>3.08</v>
      </c>
      <c r="N1079">
        <v>94</v>
      </c>
      <c r="O1079">
        <v>43.87</v>
      </c>
      <c r="P1079">
        <v>-31</v>
      </c>
      <c r="Q1079">
        <v>4</v>
      </c>
      <c r="R1079">
        <v>94</v>
      </c>
      <c r="S1079">
        <v>43</v>
      </c>
      <c r="T1079" t="s">
        <v>58</v>
      </c>
    </row>
    <row r="1080" spans="1:20" x14ac:dyDescent="0.25">
      <c r="A1080">
        <v>41900153</v>
      </c>
      <c r="B1080" t="s">
        <v>4</v>
      </c>
      <c r="C1080" t="s">
        <v>69</v>
      </c>
      <c r="D1080">
        <v>75</v>
      </c>
      <c r="E1080">
        <v>60</v>
      </c>
      <c r="F1080">
        <v>15</v>
      </c>
      <c r="G1080">
        <v>3</v>
      </c>
      <c r="H1080" s="1">
        <v>5.7291666666666663E-3</v>
      </c>
      <c r="I1080" t="s">
        <v>68</v>
      </c>
      <c r="J1080" t="s">
        <v>59</v>
      </c>
      <c r="K1080" s="2" t="str">
        <f>HYPERLINK("https://www.nba.com/stats/events?CFID=&amp;CFPARAMS=&amp;GameEventID=379&amp;GameID=0041900153&amp;Season=2019-20&amp;flag=1&amp;title=L.%20Shamet%20layup%20(10%20PTS)%20(K.%20Leonard%206%20AST)", "L. Shamet layup (10 PTS) (K. Leonard 6 AST)")</f>
        <v>L. Shamet layup (10 PTS) (K. Leonard 6 AST)</v>
      </c>
      <c r="L1080" s="2" t="str">
        <f>HYPERLINK("https://www.nba.com/game/...-vs-...-0041900153/play-by-play?watchFullGame=true", "LAC vs DAL - Q3 08:15.00")</f>
        <v>LAC vs DAL - Q3 08:15.00</v>
      </c>
      <c r="M1080">
        <v>1.42</v>
      </c>
      <c r="N1080">
        <v>94.3</v>
      </c>
      <c r="O1080">
        <v>52.52</v>
      </c>
      <c r="P1080">
        <v>13</v>
      </c>
      <c r="Q1080">
        <v>1</v>
      </c>
      <c r="R1080">
        <v>94</v>
      </c>
      <c r="S1080">
        <v>52</v>
      </c>
      <c r="T1080" t="s">
        <v>58</v>
      </c>
    </row>
    <row r="1081" spans="1:20" x14ac:dyDescent="0.25">
      <c r="A1081">
        <v>22300280</v>
      </c>
      <c r="B1081" t="s">
        <v>4</v>
      </c>
      <c r="C1081" t="s">
        <v>65</v>
      </c>
      <c r="D1081">
        <v>80</v>
      </c>
      <c r="E1081">
        <v>87</v>
      </c>
      <c r="F1081">
        <v>7</v>
      </c>
      <c r="G1081">
        <v>3</v>
      </c>
      <c r="H1081" s="1">
        <v>1.3194444444444445E-3</v>
      </c>
      <c r="I1081">
        <v>2023</v>
      </c>
      <c r="J1081" t="s">
        <v>59</v>
      </c>
      <c r="K1081" s="2" t="str">
        <f>HYPERLINK("https://www.nba.com/stats/events?CFID=&amp;CFPARAMS=&amp;GameEventID=455&amp;GameID=0022300280&amp;Season=2023-24&amp;flag=1&amp;title=D.%20Theis%20DUNK%20(6%20PTS)%20(K.%20Leonard%206%20AST)", "D. Theis DUNK (6 PTS) (K. Leonard 6 AST)")</f>
        <v>D. Theis DUNK (6 PTS) (K. Leonard 6 AST)</v>
      </c>
      <c r="L1081" s="2" t="str">
        <f>HYPERLINK("https://www.nba.com/game/...-vs-...-0022300280/play-by-play?watchFullGame=true", "LAC vs GSW - Q3 01:54.00")</f>
        <v>LAC vs GSW - Q3 01:54.00</v>
      </c>
      <c r="M1081">
        <v>0.27</v>
      </c>
      <c r="N1081">
        <v>94.53</v>
      </c>
      <c r="O1081">
        <v>49.51</v>
      </c>
      <c r="P1081">
        <v>-2</v>
      </c>
      <c r="Q1081">
        <v>-1</v>
      </c>
      <c r="R1081">
        <v>94</v>
      </c>
      <c r="S1081">
        <v>49</v>
      </c>
      <c r="T1081" t="s">
        <v>58</v>
      </c>
    </row>
    <row r="1082" spans="1:20" x14ac:dyDescent="0.25">
      <c r="A1082">
        <v>41900154</v>
      </c>
      <c r="B1082" t="s">
        <v>10</v>
      </c>
      <c r="C1082" t="s">
        <v>61</v>
      </c>
      <c r="D1082">
        <v>133</v>
      </c>
      <c r="E1082">
        <v>132</v>
      </c>
      <c r="F1082">
        <v>1</v>
      </c>
      <c r="G1082">
        <v>5</v>
      </c>
      <c r="H1082" s="1">
        <v>1.111111111111111E-4</v>
      </c>
      <c r="I1082" t="s">
        <v>68</v>
      </c>
      <c r="J1082" t="s">
        <v>59</v>
      </c>
      <c r="K1082" s="2" t="str">
        <f>HYPERLINK("https://www.nba.com/stats/events?CFID=&amp;CFPARAMS=&amp;GameEventID=741&amp;GameID=0041900154&amp;Season=2019-20&amp;flag=1&amp;title=M.%20Morris%20Sr.%2023'%203PT%20%20(9%20PTS)%20(K.%20Leonard%204%20AST)", "M. Morris Sr. 23' 3PT  (9 PTS) (K. Leonard 4 AST)")</f>
        <v>M. Morris Sr. 23' 3PT  (9 PTS) (K. Leonard 4 AST)</v>
      </c>
      <c r="L1082" s="2" t="str">
        <f>HYPERLINK("https://www.nba.com/game/...-vs-...-0041900154/play-by-play?watchFullGame=true", "LAC vs DAL - Q5 00:09.60")</f>
        <v>LAC vs DAL - Q5 00:09.60</v>
      </c>
      <c r="M1082">
        <v>22.88</v>
      </c>
      <c r="N1082">
        <v>94.83</v>
      </c>
      <c r="O1082">
        <v>4.24</v>
      </c>
      <c r="P1082">
        <v>-229</v>
      </c>
      <c r="Q1082">
        <v>-4</v>
      </c>
      <c r="R1082">
        <v>94</v>
      </c>
      <c r="S1082">
        <v>4</v>
      </c>
      <c r="T1082" t="s">
        <v>58</v>
      </c>
    </row>
    <row r="1083" spans="1:20" x14ac:dyDescent="0.25">
      <c r="A1083">
        <v>41900234</v>
      </c>
      <c r="B1083" t="s">
        <v>4</v>
      </c>
      <c r="C1083" t="s">
        <v>63</v>
      </c>
      <c r="D1083">
        <v>94</v>
      </c>
      <c r="E1083">
        <v>83</v>
      </c>
      <c r="F1083">
        <v>11</v>
      </c>
      <c r="G1083">
        <v>4</v>
      </c>
      <c r="H1083" s="1">
        <v>1.3310185185185185E-3</v>
      </c>
      <c r="I1083" t="s">
        <v>62</v>
      </c>
      <c r="J1083" t="s">
        <v>59</v>
      </c>
      <c r="K1083" s="2" t="str">
        <f>HYPERLINK("https://www.nba.com/stats/events?CFID=&amp;CFPARAMS=&amp;GameEventID=632&amp;GameID=0041900234&amp;Season=2019-20&amp;flag=1&amp;title=I.%20Zubac%20dunk%20(10%20PTS)%20(K.%20Leonard%209%20AST)", "I. Zubac dunk (10 PTS) (K. Leonard 9 AST)")</f>
        <v>I. Zubac dunk (10 PTS) (K. Leonard 9 AST)</v>
      </c>
      <c r="L1083" s="2" t="str">
        <f>HYPERLINK("https://www.nba.com/game/...-vs-...-0041900234/play-by-play?watchFullGame=true", "LAC vs DEN - Q4 01:55.00")</f>
        <v>LAC vs DEN - Q4 01:55.00</v>
      </c>
      <c r="M1083">
        <v>0.9</v>
      </c>
      <c r="N1083">
        <v>94.04</v>
      </c>
      <c r="O1083">
        <v>49.82</v>
      </c>
      <c r="P1083">
        <v>-1</v>
      </c>
      <c r="Q1083">
        <v>4</v>
      </c>
      <c r="R1083">
        <v>94</v>
      </c>
      <c r="S1083">
        <v>49</v>
      </c>
      <c r="T1083" t="s">
        <v>58</v>
      </c>
    </row>
    <row r="1084" spans="1:20" x14ac:dyDescent="0.25">
      <c r="A1084">
        <v>22301052</v>
      </c>
      <c r="B1084" t="s">
        <v>4</v>
      </c>
      <c r="C1084" t="s">
        <v>64</v>
      </c>
      <c r="D1084">
        <v>7</v>
      </c>
      <c r="E1084">
        <v>14</v>
      </c>
      <c r="F1084">
        <v>7</v>
      </c>
      <c r="G1084">
        <v>1</v>
      </c>
      <c r="H1084" s="1">
        <v>4.8148148148148152E-3</v>
      </c>
      <c r="I1084">
        <v>2023</v>
      </c>
      <c r="J1084" t="s">
        <v>59</v>
      </c>
      <c r="K1084" s="2" t="str">
        <f>HYPERLINK("https://www.nba.com/stats/events?CFID=&amp;CFPARAMS=&amp;GameEventID=49&amp;GameID=0022301052&amp;Season=2023-24&amp;flag=1&amp;title=J.%20Harden%20running%20Layup%20(2%20PTS)%20(K.%20Leonard%201%20AST)", "J. Harden running Layup (2 PTS) (K. Leonard 1 AST)")</f>
        <v>J. Harden running Layup (2 PTS) (K. Leonard 1 AST)</v>
      </c>
      <c r="L1084" s="2" t="str">
        <f>HYPERLINK("https://www.nba.com/game/...-vs-...-0022301052/play-by-play?watchFullGame=true", "LAC vs PHI - Q1 06:56.00")</f>
        <v>LAC vs PHI - Q1 06:56.00</v>
      </c>
      <c r="M1084">
        <v>1.1100000000000001</v>
      </c>
      <c r="N1084">
        <v>94.53</v>
      </c>
      <c r="O1084">
        <v>52.21</v>
      </c>
      <c r="P1084">
        <v>11</v>
      </c>
      <c r="Q1084">
        <v>-1</v>
      </c>
      <c r="R1084">
        <v>94</v>
      </c>
      <c r="S1084">
        <v>52</v>
      </c>
      <c r="T1084" t="s">
        <v>58</v>
      </c>
    </row>
    <row r="1085" spans="1:20" x14ac:dyDescent="0.25">
      <c r="A1085">
        <v>22400671</v>
      </c>
      <c r="B1085" t="s">
        <v>4</v>
      </c>
      <c r="C1085" t="s">
        <v>64</v>
      </c>
      <c r="D1085">
        <v>40</v>
      </c>
      <c r="E1085">
        <v>38</v>
      </c>
      <c r="F1085">
        <v>2</v>
      </c>
      <c r="G1085">
        <v>2</v>
      </c>
      <c r="H1085" s="1">
        <v>5.4050925925925924E-3</v>
      </c>
      <c r="I1085">
        <v>2024</v>
      </c>
      <c r="J1085" t="s">
        <v>59</v>
      </c>
      <c r="K1085" s="2" t="str">
        <f>HYPERLINK("https://www.nba.com/stats/events?CFID=&amp;CFPARAMS=&amp;GameEventID=215&amp;GameID=0022400671&amp;Season=2024-25&amp;flag=1&amp;title=K.%20Porter%20Jr.%20cutting%20Layup%20(4%20PTS)%20(K.%20Leonard%203%20AST)", "K. Porter Jr. cutting Layup (4 PTS) (K. Leonard 3 AST)")</f>
        <v>K. Porter Jr. cutting Layup (4 PTS) (K. Leonard 3 AST)</v>
      </c>
      <c r="L1085" s="2" t="str">
        <f>HYPERLINK("https://www.nba.com/game/...-vs-...-0022400671/play-by-play?watchFullGame=true", "LAC vs SAS - Q2 07:47.00")</f>
        <v>LAC vs SAS - Q2 07:47.00</v>
      </c>
      <c r="M1085">
        <v>1.87</v>
      </c>
      <c r="N1085">
        <v>94.04</v>
      </c>
      <c r="O1085">
        <v>53.68</v>
      </c>
      <c r="P1085">
        <v>18</v>
      </c>
      <c r="Q1085">
        <v>4</v>
      </c>
      <c r="R1085">
        <v>94</v>
      </c>
      <c r="S1085">
        <v>53</v>
      </c>
      <c r="T1085" t="s">
        <v>58</v>
      </c>
    </row>
    <row r="1086" spans="1:20" x14ac:dyDescent="0.25">
      <c r="A1086">
        <v>42000177</v>
      </c>
      <c r="B1086" t="s">
        <v>10</v>
      </c>
      <c r="C1086" t="s">
        <v>9</v>
      </c>
      <c r="D1086">
        <v>51</v>
      </c>
      <c r="E1086">
        <v>44</v>
      </c>
      <c r="F1086">
        <v>7</v>
      </c>
      <c r="G1086">
        <v>2</v>
      </c>
      <c r="H1086" s="1">
        <v>3.8194444444444443E-3</v>
      </c>
      <c r="I1086" t="s">
        <v>66</v>
      </c>
      <c r="J1086" t="s">
        <v>59</v>
      </c>
      <c r="K1086" s="2" t="str">
        <f>HYPERLINK("https://www.nba.com/stats/events?CFID=&amp;CFPARAMS=&amp;GameEventID=252&amp;GameID=0042000177&amp;Season=2020-21&amp;flag=1&amp;title=P.%20George%203PT%20%20(7%20PTS)%20(K.%20Leonard%203%20AST)", "P. George 3PT  (7 PTS) (K. Leonard 3 AST)")</f>
        <v>P. George 3PT  (7 PTS) (K. Leonard 3 AST)</v>
      </c>
      <c r="L1086" s="2" t="str">
        <f>HYPERLINK("https://www.nba.com/game/...-vs-...-0042000177/play-by-play?watchFullGame=true", "LAC vs DAL - Q2 05:30.00")</f>
        <v>LAC vs DAL - Q2 05:30.00</v>
      </c>
      <c r="M1086">
        <v>23.44</v>
      </c>
      <c r="N1086">
        <v>94.17</v>
      </c>
      <c r="O1086">
        <v>96.88</v>
      </c>
      <c r="P1086">
        <v>94</v>
      </c>
      <c r="Q1086">
        <v>96</v>
      </c>
      <c r="R1086">
        <v>94</v>
      </c>
      <c r="S1086">
        <v>96</v>
      </c>
      <c r="T1086" t="s">
        <v>58</v>
      </c>
    </row>
    <row r="1087" spans="1:20" x14ac:dyDescent="0.25">
      <c r="A1087">
        <v>22300280</v>
      </c>
      <c r="B1087" t="s">
        <v>4</v>
      </c>
      <c r="C1087" t="s">
        <v>64</v>
      </c>
      <c r="D1087">
        <v>95</v>
      </c>
      <c r="E1087">
        <v>98</v>
      </c>
      <c r="F1087">
        <v>3</v>
      </c>
      <c r="G1087">
        <v>4</v>
      </c>
      <c r="H1087" s="1">
        <v>5.208333333333333E-3</v>
      </c>
      <c r="I1087">
        <v>2023</v>
      </c>
      <c r="J1087" t="s">
        <v>59</v>
      </c>
      <c r="K1087" s="2" t="str">
        <f>HYPERLINK("https://www.nba.com/stats/events?CFID=&amp;CFPARAMS=&amp;GameEventID=547&amp;GameID=0022300280&amp;Season=2023-24&amp;flag=1&amp;title=D.%20Theis%20cutting%20Layup%20(10%20PTS)%20(K.%20Leonard%207%20AST)", "D. Theis cutting Layup (10 PTS) (K. Leonard 7 AST)")</f>
        <v>D. Theis cutting Layup (10 PTS) (K. Leonard 7 AST)</v>
      </c>
      <c r="L1087" s="2" t="str">
        <f>HYPERLINK("https://www.nba.com/game/...-vs-...-0022300280/play-by-play?watchFullGame=true", "LAC vs GSW - Q4 07:30.00")</f>
        <v>LAC vs GSW - Q4 07:30.00</v>
      </c>
      <c r="M1087">
        <v>2.97</v>
      </c>
      <c r="N1087">
        <v>94</v>
      </c>
      <c r="O1087">
        <v>55.88</v>
      </c>
      <c r="P1087">
        <v>29</v>
      </c>
      <c r="Q1087">
        <v>4</v>
      </c>
      <c r="R1087">
        <v>94</v>
      </c>
      <c r="S1087">
        <v>55</v>
      </c>
      <c r="T1087" t="s">
        <v>58</v>
      </c>
    </row>
    <row r="1088" spans="1:20" x14ac:dyDescent="0.25">
      <c r="A1088">
        <v>22200579</v>
      </c>
      <c r="B1088" t="s">
        <v>4</v>
      </c>
      <c r="C1088" t="s">
        <v>64</v>
      </c>
      <c r="D1088">
        <v>29</v>
      </c>
      <c r="E1088">
        <v>65</v>
      </c>
      <c r="F1088">
        <v>36</v>
      </c>
      <c r="G1088">
        <v>2</v>
      </c>
      <c r="H1088" s="1">
        <v>9.2592592592592596E-4</v>
      </c>
      <c r="I1088">
        <v>2022</v>
      </c>
      <c r="J1088" t="s">
        <v>59</v>
      </c>
      <c r="K1088" s="2" t="str">
        <f>HYPERLINK("https://www.nba.com/stats/events?CFID=&amp;CFPARAMS=&amp;GameEventID=270&amp;GameID=0022200579&amp;Season=2022-23&amp;flag=1&amp;title=M.%20Morris%20Sr.%20driving%20Layup%20(7%20PTS)%20(K.%20Leonard%202%20AST)", "M. Morris Sr. driving Layup (7 PTS) (K. Leonard 2 AST)")</f>
        <v>M. Morris Sr. driving Layup (7 PTS) (K. Leonard 2 AST)</v>
      </c>
      <c r="L1088" s="2" t="str">
        <f>HYPERLINK("https://www.nba.com/game/...-vs-...-0022200579/play-by-play?watchFullGame=true", "LAC vs DEN - Q2 01:20.00")</f>
        <v>LAC vs DEN - Q2 01:20.00</v>
      </c>
      <c r="M1088">
        <v>2.11</v>
      </c>
      <c r="N1088">
        <v>94.04</v>
      </c>
      <c r="O1088">
        <v>54.17</v>
      </c>
      <c r="P1088">
        <v>21</v>
      </c>
      <c r="Q1088">
        <v>4</v>
      </c>
      <c r="R1088">
        <v>94</v>
      </c>
      <c r="S1088">
        <v>54</v>
      </c>
      <c r="T1088" t="s">
        <v>58</v>
      </c>
    </row>
    <row r="1089" spans="1:20" x14ac:dyDescent="0.25">
      <c r="A1089">
        <v>41900234</v>
      </c>
      <c r="B1089" t="s">
        <v>10</v>
      </c>
      <c r="C1089" t="s">
        <v>61</v>
      </c>
      <c r="D1089">
        <v>83</v>
      </c>
      <c r="E1089">
        <v>67</v>
      </c>
      <c r="F1089">
        <v>16</v>
      </c>
      <c r="G1089">
        <v>4</v>
      </c>
      <c r="H1089" s="1">
        <v>5.37037037037037E-3</v>
      </c>
      <c r="I1089" t="s">
        <v>62</v>
      </c>
      <c r="J1089" t="s">
        <v>59</v>
      </c>
      <c r="K1089" s="2" t="str">
        <f>HYPERLINK("https://www.nba.com/stats/events?CFID=&amp;CFPARAMS=&amp;GameEventID=571&amp;GameID=0041900234&amp;Season=2019-20&amp;flag=1&amp;title=P.%20George%2024'%203PT%20%20(7%20PTS)%20(K.%20Leonard%206%20AST)", "P. George 24' 3PT  (7 PTS) (K. Leonard 6 AST)")</f>
        <v>P. George 24' 3PT  (7 PTS) (K. Leonard 6 AST)</v>
      </c>
      <c r="L1089" s="2" t="str">
        <f>HYPERLINK("https://www.nba.com/game/...-vs-...-0041900234/play-by-play?watchFullGame=true", "LAC vs DEN - Q4 07:44.00")</f>
        <v>LAC vs DEN - Q4 07:44.00</v>
      </c>
      <c r="M1089">
        <v>23.86</v>
      </c>
      <c r="N1089">
        <v>94.56</v>
      </c>
      <c r="O1089">
        <v>2.27</v>
      </c>
      <c r="P1089">
        <v>-239</v>
      </c>
      <c r="Q1089">
        <v>-1</v>
      </c>
      <c r="R1089">
        <v>94</v>
      </c>
      <c r="S1089">
        <v>2</v>
      </c>
      <c r="T1089" t="s">
        <v>58</v>
      </c>
    </row>
    <row r="1090" spans="1:20" x14ac:dyDescent="0.25">
      <c r="A1090">
        <v>41900237</v>
      </c>
      <c r="B1090" t="s">
        <v>4</v>
      </c>
      <c r="C1090" t="s">
        <v>69</v>
      </c>
      <c r="D1090">
        <v>41</v>
      </c>
      <c r="E1090">
        <v>34</v>
      </c>
      <c r="F1090">
        <v>7</v>
      </c>
      <c r="G1090">
        <v>2</v>
      </c>
      <c r="H1090" s="1">
        <v>4.7916666666666663E-3</v>
      </c>
      <c r="I1090" t="s">
        <v>62</v>
      </c>
      <c r="J1090" t="s">
        <v>59</v>
      </c>
      <c r="K1090" s="2" t="str">
        <f>HYPERLINK("https://www.nba.com/stats/events?CFID=&amp;CFPARAMS=&amp;GameEventID=231&amp;GameID=0041900237&amp;Season=2019-20&amp;flag=1&amp;title=P.%20George%20layup%20(5%20PTS)%20(K.%20Leonard%203%20AST)", "P. George layup (5 PTS) (K. Leonard 3 AST)")</f>
        <v>P. George layup (5 PTS) (K. Leonard 3 AST)</v>
      </c>
      <c r="L1090" s="2" t="str">
        <f>HYPERLINK("https://www.nba.com/game/...-vs-...-0041900237/play-by-play?watchFullGame=true", "LAC vs DEN - Q2 06:54.00")</f>
        <v>LAC vs DEN - Q2 06:54.00</v>
      </c>
      <c r="M1090">
        <v>1.22</v>
      </c>
      <c r="N1090">
        <v>94.69</v>
      </c>
      <c r="O1090">
        <v>47.62</v>
      </c>
      <c r="P1090">
        <v>-12</v>
      </c>
      <c r="Q1090">
        <v>-3</v>
      </c>
      <c r="R1090">
        <v>94</v>
      </c>
      <c r="S1090">
        <v>47</v>
      </c>
      <c r="T1090" t="s">
        <v>58</v>
      </c>
    </row>
    <row r="1091" spans="1:20" x14ac:dyDescent="0.25">
      <c r="A1091">
        <v>41900155</v>
      </c>
      <c r="B1091" t="s">
        <v>4</v>
      </c>
      <c r="C1091" t="s">
        <v>63</v>
      </c>
      <c r="D1091">
        <v>97</v>
      </c>
      <c r="E1091">
        <v>69</v>
      </c>
      <c r="F1091">
        <v>28</v>
      </c>
      <c r="G1091">
        <v>3</v>
      </c>
      <c r="H1091" s="1">
        <v>4.1550925925925922E-3</v>
      </c>
      <c r="I1091" t="s">
        <v>68</v>
      </c>
      <c r="J1091" t="s">
        <v>59</v>
      </c>
      <c r="K1091" s="2" t="str">
        <f>HYPERLINK("https://www.nba.com/stats/events?CFID=&amp;CFPARAMS=&amp;GameEventID=450&amp;GameID=0041900155&amp;Season=2019-20&amp;flag=1&amp;title=I.%20Zubac%20dunk%20(9%20PTS)%20(K.%20Leonard%204%20AST)", "I. Zubac dunk (9 PTS) (K. Leonard 4 AST)")</f>
        <v>I. Zubac dunk (9 PTS) (K. Leonard 4 AST)</v>
      </c>
      <c r="L1091" s="2" t="str">
        <f>HYPERLINK("https://www.nba.com/game/...-vs-...-0041900155/play-by-play?watchFullGame=true", "LAC vs DAL - Q3 05:59.00")</f>
        <v>LAC vs DAL - Q3 05:59.00</v>
      </c>
      <c r="M1091">
        <v>1.8</v>
      </c>
      <c r="N1091">
        <v>94.3</v>
      </c>
      <c r="O1091">
        <v>46.64</v>
      </c>
      <c r="P1091">
        <v>-17</v>
      </c>
      <c r="Q1091">
        <v>1</v>
      </c>
      <c r="R1091">
        <v>94</v>
      </c>
      <c r="S1091">
        <v>46</v>
      </c>
      <c r="T1091" t="s">
        <v>58</v>
      </c>
    </row>
    <row r="1092" spans="1:20" x14ac:dyDescent="0.25">
      <c r="A1092">
        <v>42200172</v>
      </c>
      <c r="B1092" t="s">
        <v>4</v>
      </c>
      <c r="C1092" t="s">
        <v>65</v>
      </c>
      <c r="D1092">
        <v>57</v>
      </c>
      <c r="E1092">
        <v>48</v>
      </c>
      <c r="F1092">
        <v>9</v>
      </c>
      <c r="G1092">
        <v>2</v>
      </c>
      <c r="H1092" s="1">
        <v>1.8634259259259259E-3</v>
      </c>
      <c r="I1092" t="s">
        <v>67</v>
      </c>
      <c r="J1092" t="s">
        <v>59</v>
      </c>
      <c r="K1092" s="2" t="str">
        <f>HYPERLINK("https://www.nba.com/stats/events?CFID=&amp;CFPARAMS=&amp;GameEventID=273&amp;GameID=0042200172&amp;Season=2022-23&amp;flag=1&amp;title=I.%20Zubac%20cutting%20DUNK%20(4%20PTS)%20(K.%20Leonard%206%20AST)", "I. Zubac cutting DUNK (4 PTS) (K. Leonard 6 AST)")</f>
        <v>I. Zubac cutting DUNK (4 PTS) (K. Leonard 6 AST)</v>
      </c>
      <c r="L1092" s="2" t="str">
        <f>HYPERLINK("https://www.nba.com/game/...-vs-...-0042200172/play-by-play?watchFullGame=true", "LAC vs PHX - Q2 02:41.00")</f>
        <v>LAC vs PHX - Q2 02:41.00</v>
      </c>
      <c r="M1092">
        <v>0.51</v>
      </c>
      <c r="N1092">
        <v>94.04</v>
      </c>
      <c r="O1092">
        <v>49.26</v>
      </c>
      <c r="P1092">
        <v>94</v>
      </c>
      <c r="Q1092">
        <v>49</v>
      </c>
      <c r="R1092">
        <v>94</v>
      </c>
      <c r="S1092">
        <v>49</v>
      </c>
      <c r="T1092" t="s">
        <v>58</v>
      </c>
    </row>
    <row r="1093" spans="1:20" x14ac:dyDescent="0.25">
      <c r="A1093">
        <v>42000176</v>
      </c>
      <c r="B1093" t="s">
        <v>4</v>
      </c>
      <c r="C1093" t="s">
        <v>64</v>
      </c>
      <c r="D1093">
        <v>19</v>
      </c>
      <c r="E1093">
        <v>21</v>
      </c>
      <c r="F1093">
        <v>2</v>
      </c>
      <c r="G1093">
        <v>1</v>
      </c>
      <c r="H1093" s="1">
        <v>3.1134259259259257E-3</v>
      </c>
      <c r="I1093" t="s">
        <v>66</v>
      </c>
      <c r="J1093" t="s">
        <v>59</v>
      </c>
      <c r="K1093" s="2" t="str">
        <f>HYPERLINK("https://www.nba.com/stats/events?CFID=&amp;CFPARAMS=&amp;GameEventID=79&amp;GameID=0042000176&amp;Season=2020-21&amp;flag=1&amp;title=R.%20Jackson%20driving%20finger%20roll%20Layup%20(9%20PTS)%20(K.%20Leonard%202%20AST)", "R. Jackson driving finger roll Layup (9 PTS) (K. Leonard 2 AST)")</f>
        <v>R. Jackson driving finger roll Layup (9 PTS) (K. Leonard 2 AST)</v>
      </c>
      <c r="L1093" s="2" t="str">
        <f>HYPERLINK("https://www.nba.com/game/...-vs-...-0042000176/play-by-play?watchFullGame=true", "LAC vs DAL - Q1 04:29.00")</f>
        <v>LAC vs DAL - Q1 04:29.00</v>
      </c>
      <c r="M1093">
        <v>3.36</v>
      </c>
      <c r="N1093">
        <v>94.83</v>
      </c>
      <c r="O1093">
        <v>56.69</v>
      </c>
      <c r="P1093">
        <v>94</v>
      </c>
      <c r="Q1093">
        <v>56</v>
      </c>
      <c r="R1093">
        <v>94</v>
      </c>
      <c r="S1093">
        <v>56</v>
      </c>
      <c r="T1093" t="s">
        <v>58</v>
      </c>
    </row>
    <row r="1094" spans="1:20" x14ac:dyDescent="0.25">
      <c r="A1094">
        <v>22000736</v>
      </c>
      <c r="B1094" t="s">
        <v>4</v>
      </c>
      <c r="C1094" t="s">
        <v>65</v>
      </c>
      <c r="D1094">
        <v>2</v>
      </c>
      <c r="E1094">
        <v>5</v>
      </c>
      <c r="F1094">
        <v>3</v>
      </c>
      <c r="G1094">
        <v>1</v>
      </c>
      <c r="H1094" s="1">
        <v>7.1990740740740739E-3</v>
      </c>
      <c r="I1094">
        <v>2020</v>
      </c>
      <c r="J1094" t="s">
        <v>59</v>
      </c>
      <c r="K1094" s="2" t="str">
        <f>HYPERLINK("https://www.nba.com/stats/events?CFID=&amp;CFPARAMS=&amp;GameEventID=21&amp;GameID=0022000736&amp;Season=2020-21&amp;flag=1&amp;title=P.%20George%20driving%20DUNK%20(2%20PTS)%20(K.%20Leonard%201%20AST)", "P. George driving DUNK (2 PTS) (K. Leonard 1 AST)")</f>
        <v>P. George driving DUNK (2 PTS) (K. Leonard 1 AST)</v>
      </c>
      <c r="L1094" s="2" t="str">
        <f>HYPERLINK("https://www.nba.com/game/...-vs-...-0022000736/play-by-play?watchFullGame=true", "LAC vs DEN - Q1 10:22.00")</f>
        <v>LAC vs DEN - Q1 10:22.00</v>
      </c>
      <c r="M1094">
        <v>0.89</v>
      </c>
      <c r="N1094">
        <v>94.04</v>
      </c>
      <c r="O1094">
        <v>48.35</v>
      </c>
      <c r="P1094">
        <v>-8</v>
      </c>
      <c r="Q1094">
        <v>4</v>
      </c>
      <c r="R1094">
        <v>94</v>
      </c>
      <c r="S1094">
        <v>48</v>
      </c>
      <c r="T1094" t="s">
        <v>58</v>
      </c>
    </row>
    <row r="1095" spans="1:20" x14ac:dyDescent="0.25">
      <c r="A1095">
        <v>22301225</v>
      </c>
      <c r="B1095" t="s">
        <v>10</v>
      </c>
      <c r="C1095" t="s">
        <v>9</v>
      </c>
      <c r="D1095">
        <v>18</v>
      </c>
      <c r="E1095">
        <v>11</v>
      </c>
      <c r="F1095">
        <v>7</v>
      </c>
      <c r="G1095">
        <v>1</v>
      </c>
      <c r="H1095" s="1">
        <v>3.9699074074074072E-3</v>
      </c>
      <c r="I1095">
        <v>2023</v>
      </c>
      <c r="J1095" t="s">
        <v>59</v>
      </c>
      <c r="K1095" s="2" t="str">
        <f>HYPERLINK("https://www.nba.com/stats/events?CFID=&amp;CFPARAMS=&amp;GameEventID=74&amp;GameID=0022301225&amp;Season=2023-24&amp;flag=1&amp;title=R.%20Westbrook%203PT%20%20(3%20PTS)%20(K.%20Leonard%201%20AST)", "R. Westbrook 3PT  (3 PTS) (K. Leonard 1 AST)")</f>
        <v>R. Westbrook 3PT  (3 PTS) (K. Leonard 1 AST)</v>
      </c>
      <c r="L1095" s="2" t="str">
        <f>HYPERLINK("https://www.nba.com/game/...-vs-...-0022301225/play-by-play?watchFullGame=true", "LAC vs UTA - Q1 05:43.00")</f>
        <v>LAC vs UTA - Q1 05:43.00</v>
      </c>
      <c r="M1095">
        <v>23.16</v>
      </c>
      <c r="N1095">
        <v>94.43</v>
      </c>
      <c r="O1095">
        <v>3.68</v>
      </c>
      <c r="P1095">
        <v>-232</v>
      </c>
      <c r="Q1095">
        <v>3</v>
      </c>
      <c r="R1095">
        <v>94</v>
      </c>
      <c r="S1095">
        <v>3</v>
      </c>
      <c r="T1095" t="s">
        <v>58</v>
      </c>
    </row>
    <row r="1096" spans="1:20" x14ac:dyDescent="0.25">
      <c r="A1096">
        <v>22001047</v>
      </c>
      <c r="B1096" t="s">
        <v>10</v>
      </c>
      <c r="C1096" t="s">
        <v>9</v>
      </c>
      <c r="D1096">
        <v>70</v>
      </c>
      <c r="E1096">
        <v>67</v>
      </c>
      <c r="F1096">
        <v>3</v>
      </c>
      <c r="G1096">
        <v>3</v>
      </c>
      <c r="H1096" s="1">
        <v>2.650462962962963E-3</v>
      </c>
      <c r="I1096">
        <v>2020</v>
      </c>
      <c r="J1096" t="s">
        <v>59</v>
      </c>
      <c r="K1096" s="2" t="str">
        <f>HYPERLINK("https://www.nba.com/stats/events?CFID=&amp;CFPARAMS=&amp;GameEventID=386&amp;GameID=0022001047&amp;Season=2020-21&amp;flag=1&amp;title=R.%20Jackson%203PT%20%20(13%20PTS)%20(K.%20Leonard%209%20AST)", "R. Jackson 3PT  (13 PTS) (K. Leonard 9 AST)")</f>
        <v>R. Jackson 3PT  (13 PTS) (K. Leonard 9 AST)</v>
      </c>
      <c r="L1096" s="2" t="str">
        <f>HYPERLINK("https://www.nba.com/game/...-vs-...-0022001047/play-by-play?watchFullGame=true", "LAC vs CHA - Q3 03:49.00")</f>
        <v>LAC vs CHA - Q3 03:49.00</v>
      </c>
      <c r="M1096">
        <v>23.25</v>
      </c>
      <c r="N1096">
        <v>94.17</v>
      </c>
      <c r="O1096">
        <v>3.5</v>
      </c>
      <c r="P1096">
        <v>-232</v>
      </c>
      <c r="Q1096">
        <v>2</v>
      </c>
      <c r="R1096">
        <v>94</v>
      </c>
      <c r="S1096">
        <v>3</v>
      </c>
      <c r="T1096" t="s">
        <v>58</v>
      </c>
    </row>
    <row r="1097" spans="1:20" x14ac:dyDescent="0.25">
      <c r="A1097">
        <v>21900305</v>
      </c>
      <c r="B1097" t="s">
        <v>10</v>
      </c>
      <c r="C1097" t="s">
        <v>61</v>
      </c>
      <c r="D1097">
        <v>45</v>
      </c>
      <c r="E1097">
        <v>45</v>
      </c>
      <c r="F1097">
        <v>0</v>
      </c>
      <c r="G1097">
        <v>2</v>
      </c>
      <c r="H1097" s="1">
        <v>5.0115740740740737E-3</v>
      </c>
      <c r="I1097">
        <v>2019</v>
      </c>
      <c r="J1097" t="s">
        <v>59</v>
      </c>
      <c r="K1097" s="2" t="str">
        <f>HYPERLINK("https://www.nba.com/stats/events?CFID=&amp;CFPARAMS=&amp;GameEventID=225&amp;GameID=0021900305&amp;Season=2019-20&amp;flag=1&amp;title=P.%20Patterson%2023'%203PT%20%20(7%20PTS)%20(K.%20Leonard%204%20AST)", "P. Patterson 23' 3PT  (7 PTS) (K. Leonard 4 AST)")</f>
        <v>P. Patterson 23' 3PT  (7 PTS) (K. Leonard 4 AST)</v>
      </c>
      <c r="L1097" s="2" t="str">
        <f>HYPERLINK("https://www.nba.com/game/...-vs-...-0021900305/play-by-play?watchFullGame=true", "LAC vs POR - Q2 07:13.00")</f>
        <v>LAC vs POR - Q2 07:13.00</v>
      </c>
      <c r="M1097">
        <v>22.6</v>
      </c>
      <c r="N1097">
        <v>94</v>
      </c>
      <c r="O1097">
        <v>4.83</v>
      </c>
      <c r="P1097">
        <v>-226</v>
      </c>
      <c r="Q1097">
        <v>4</v>
      </c>
      <c r="R1097">
        <v>94</v>
      </c>
      <c r="S1097">
        <v>4</v>
      </c>
      <c r="T1097" t="s">
        <v>58</v>
      </c>
    </row>
    <row r="1098" spans="1:20" x14ac:dyDescent="0.25">
      <c r="A1098">
        <v>22300568</v>
      </c>
      <c r="B1098" t="s">
        <v>4</v>
      </c>
      <c r="C1098" t="s">
        <v>9</v>
      </c>
      <c r="D1098">
        <v>22</v>
      </c>
      <c r="E1098">
        <v>21</v>
      </c>
      <c r="F1098">
        <v>1</v>
      </c>
      <c r="G1098">
        <v>1</v>
      </c>
      <c r="H1098" s="1">
        <v>3.9930555555555552E-3</v>
      </c>
      <c r="I1098">
        <v>2023</v>
      </c>
      <c r="J1098" t="s">
        <v>59</v>
      </c>
      <c r="K1098" s="2" t="str">
        <f>HYPERLINK("https://www.nba.com/stats/events?CFID=&amp;CFPARAMS=&amp;GameEventID=72&amp;GameID=0022300568&amp;Season=2023-24&amp;flag=1&amp;title=P.%20George%2015'%20fadeaway%20Jump%20Shot%20(2%20PTS)%20(K.%20Leonard%204%20AST)", "P. George 15' fadeaway Jump Shot (2 PTS) (K. Leonard 4 AST)")</f>
        <v>P. George 15' fadeaway Jump Shot (2 PTS) (K. Leonard 4 AST)</v>
      </c>
      <c r="L1098" s="2" t="str">
        <f>HYPERLINK("https://www.nba.com/game/...-vs-...-0022300568/play-by-play?watchFullGame=true", "LAC vs OKC - Q1 05:45.00")</f>
        <v>LAC vs OKC - Q1 05:45.00</v>
      </c>
      <c r="M1098">
        <v>15.44</v>
      </c>
      <c r="N1098">
        <v>94.14</v>
      </c>
      <c r="O1098">
        <v>80.88</v>
      </c>
      <c r="P1098">
        <v>154</v>
      </c>
      <c r="Q1098">
        <v>3</v>
      </c>
      <c r="R1098">
        <v>94</v>
      </c>
      <c r="S1098">
        <v>80</v>
      </c>
      <c r="T1098" t="s">
        <v>58</v>
      </c>
    </row>
    <row r="1099" spans="1:20" x14ac:dyDescent="0.25">
      <c r="A1099">
        <v>41900234</v>
      </c>
      <c r="B1099" t="s">
        <v>4</v>
      </c>
      <c r="C1099" t="s">
        <v>63</v>
      </c>
      <c r="D1099">
        <v>65</v>
      </c>
      <c r="E1099">
        <v>53</v>
      </c>
      <c r="F1099">
        <v>12</v>
      </c>
      <c r="G1099">
        <v>3</v>
      </c>
      <c r="H1099" s="1">
        <v>4.2361111111111115E-3</v>
      </c>
      <c r="I1099" t="s">
        <v>62</v>
      </c>
      <c r="J1099" t="s">
        <v>59</v>
      </c>
      <c r="K1099" s="2" t="str">
        <f>HYPERLINK("https://www.nba.com/stats/events?CFID=&amp;CFPARAMS=&amp;GameEventID=417&amp;GameID=0041900234&amp;Season=2019-20&amp;flag=1&amp;title=L.%20Williams%20dunk%20(7%20PTS)%20(K.%20Leonard%205%20AST)", "L. Williams dunk (7 PTS) (K. Leonard 5 AST)")</f>
        <v>L. Williams dunk (7 PTS) (K. Leonard 5 AST)</v>
      </c>
      <c r="L1099" s="2" t="str">
        <f>HYPERLINK("https://www.nba.com/game/...-vs-...-0041900234/play-by-play?watchFullGame=true", "LAC vs DEN - Q3 06:06.00")</f>
        <v>LAC vs DEN - Q3 06:06.00</v>
      </c>
      <c r="M1099">
        <v>0.9</v>
      </c>
      <c r="N1099">
        <v>94.04</v>
      </c>
      <c r="O1099">
        <v>50.07</v>
      </c>
      <c r="P1099">
        <v>94</v>
      </c>
      <c r="Q1099">
        <v>4</v>
      </c>
      <c r="R1099">
        <v>94</v>
      </c>
      <c r="S1099">
        <v>50</v>
      </c>
      <c r="T1099" t="s">
        <v>58</v>
      </c>
    </row>
    <row r="1100" spans="1:20" x14ac:dyDescent="0.25">
      <c r="A1100">
        <v>22300880</v>
      </c>
      <c r="B1100" t="s">
        <v>10</v>
      </c>
      <c r="C1100" t="s">
        <v>9</v>
      </c>
      <c r="D1100">
        <v>99</v>
      </c>
      <c r="E1100">
        <v>105</v>
      </c>
      <c r="F1100">
        <v>6</v>
      </c>
      <c r="G1100">
        <v>4</v>
      </c>
      <c r="H1100" s="1">
        <v>1.1689814814814816E-3</v>
      </c>
      <c r="I1100">
        <v>2023</v>
      </c>
      <c r="J1100" t="s">
        <v>59</v>
      </c>
      <c r="K1100" s="2" t="str">
        <f>HYPERLINK("https://www.nba.com/stats/events?CFID=&amp;CFPARAMS=&amp;GameEventID=596&amp;GameID=0022300880&amp;Season=2023-24&amp;flag=1&amp;title=N.%20Powell%203PT%20%20(6%20PTS)%20(K.%20Leonard%204%20AST)", "N. Powell 3PT  (6 PTS) (K. Leonard 4 AST)")</f>
        <v>N. Powell 3PT  (6 PTS) (K. Leonard 4 AST)</v>
      </c>
      <c r="L1100" s="2" t="str">
        <f>HYPERLINK("https://www.nba.com/game/...-vs-...-0022300880/play-by-play?watchFullGame=true", "LAC vs MIL - Q4 01:41.00")</f>
        <v>LAC vs MIL - Q4 01:41.00</v>
      </c>
      <c r="M1100">
        <v>23.17</v>
      </c>
      <c r="N1100">
        <v>94.96</v>
      </c>
      <c r="O1100">
        <v>3.68</v>
      </c>
      <c r="P1100">
        <v>-232</v>
      </c>
      <c r="Q1100">
        <v>-5</v>
      </c>
      <c r="R1100">
        <v>94</v>
      </c>
      <c r="S1100">
        <v>3</v>
      </c>
      <c r="T1100" t="s">
        <v>58</v>
      </c>
    </row>
    <row r="1101" spans="1:20" x14ac:dyDescent="0.25">
      <c r="A1101">
        <v>22400671</v>
      </c>
      <c r="B1101" t="s">
        <v>4</v>
      </c>
      <c r="C1101" t="s">
        <v>64</v>
      </c>
      <c r="D1101">
        <v>15</v>
      </c>
      <c r="E1101">
        <v>14</v>
      </c>
      <c r="F1101">
        <v>1</v>
      </c>
      <c r="G1101">
        <v>1</v>
      </c>
      <c r="H1101" s="1">
        <v>4.2592592592592595E-3</v>
      </c>
      <c r="I1101">
        <v>2024</v>
      </c>
      <c r="J1101" t="s">
        <v>59</v>
      </c>
      <c r="K1101" s="2" t="str">
        <f>HYPERLINK("https://www.nba.com/stats/events?CFID=&amp;CFPARAMS=&amp;GameEventID=78&amp;GameID=0022400671&amp;Season=2024-25&amp;flag=1&amp;title=J.%20Harden%20running%20Layup%20(2%20PTS)%20(K.%20Leonard%201%20AST)", "J. Harden running Layup (2 PTS) (K. Leonard 1 AST)")</f>
        <v>J. Harden running Layup (2 PTS) (K. Leonard 1 AST)</v>
      </c>
      <c r="L1101" s="2" t="str">
        <f>HYPERLINK("https://www.nba.com/game/...-vs-...-0022400671/play-by-play?watchFullGame=true", "LAC vs SAS - Q1 06:08.00")</f>
        <v>LAC vs SAS - Q1 06:08.00</v>
      </c>
      <c r="M1101">
        <v>1.47</v>
      </c>
      <c r="N1101">
        <v>94.3</v>
      </c>
      <c r="O1101">
        <v>47.06</v>
      </c>
      <c r="P1101">
        <v>-15</v>
      </c>
      <c r="Q1101">
        <v>1</v>
      </c>
      <c r="R1101">
        <v>94</v>
      </c>
      <c r="S1101">
        <v>47</v>
      </c>
      <c r="T1101" t="s">
        <v>58</v>
      </c>
    </row>
    <row r="1102" spans="1:20" x14ac:dyDescent="0.25">
      <c r="A1102">
        <v>22000625</v>
      </c>
      <c r="B1102" t="s">
        <v>4</v>
      </c>
      <c r="C1102" t="s">
        <v>64</v>
      </c>
      <c r="D1102">
        <v>11</v>
      </c>
      <c r="E1102">
        <v>10</v>
      </c>
      <c r="F1102">
        <v>1</v>
      </c>
      <c r="G1102">
        <v>1</v>
      </c>
      <c r="H1102" s="1">
        <v>5.0231481481481481E-3</v>
      </c>
      <c r="I1102">
        <v>2020</v>
      </c>
      <c r="J1102" t="s">
        <v>59</v>
      </c>
      <c r="K1102" s="2" t="str">
        <f>HYPERLINK("https://www.nba.com/stats/events?CFID=&amp;CFPARAMS=&amp;GameEventID=44&amp;GameID=0022000625&amp;Season=2020-21&amp;flag=1&amp;title=M.%20Morris%20Sr.%20running%20reverse%20Layup%20(4%20PTS)%20(K.%20Leonard%201%20AST)", "M. Morris Sr. running reverse Layup (4 PTS) (K. Leonard 1 AST)")</f>
        <v>M. Morris Sr. running reverse Layup (4 PTS) (K. Leonard 1 AST)</v>
      </c>
      <c r="L1102" s="2" t="str">
        <f>HYPERLINK("https://www.nba.com/game/...-vs-...-0022000625/play-by-play?watchFullGame=true", "LAC vs DAL - Q1 07:14.00")</f>
        <v>LAC vs DAL - Q1 07:14.00</v>
      </c>
      <c r="M1102">
        <v>0.4</v>
      </c>
      <c r="N1102">
        <v>94.43</v>
      </c>
      <c r="O1102">
        <v>50.8</v>
      </c>
      <c r="P1102">
        <v>4</v>
      </c>
      <c r="Q1102">
        <v>50</v>
      </c>
      <c r="R1102">
        <v>94</v>
      </c>
      <c r="S1102">
        <v>50</v>
      </c>
      <c r="T1102" t="s">
        <v>58</v>
      </c>
    </row>
    <row r="1103" spans="1:20" x14ac:dyDescent="0.25">
      <c r="A1103">
        <v>41900234</v>
      </c>
      <c r="B1103" t="s">
        <v>4</v>
      </c>
      <c r="C1103" t="s">
        <v>63</v>
      </c>
      <c r="D1103">
        <v>90</v>
      </c>
      <c r="E1103">
        <v>71</v>
      </c>
      <c r="F1103">
        <v>19</v>
      </c>
      <c r="G1103">
        <v>4</v>
      </c>
      <c r="H1103" s="1">
        <v>3.5069444444444445E-3</v>
      </c>
      <c r="I1103" t="s">
        <v>62</v>
      </c>
      <c r="J1103" t="s">
        <v>59</v>
      </c>
      <c r="K1103" s="2" t="str">
        <f>HYPERLINK("https://www.nba.com/stats/events?CFID=&amp;CFPARAMS=&amp;GameEventID=602&amp;GameID=0041900234&amp;Season=2019-20&amp;flag=1&amp;title=M.%20Harrell%20dunk%20(15%20PTS)%20(K.%20Leonard%208%20AST)", "M. Harrell dunk (15 PTS) (K. Leonard 8 AST)")</f>
        <v>M. Harrell dunk (15 PTS) (K. Leonard 8 AST)</v>
      </c>
      <c r="L1103" s="2" t="str">
        <f>HYPERLINK("https://www.nba.com/game/...-vs-...-0041900234/play-by-play?watchFullGame=true", "LAC vs DEN - Q4 05:03.00")</f>
        <v>LAC vs DEN - Q4 05:03.00</v>
      </c>
      <c r="M1103">
        <v>0.28999999999999998</v>
      </c>
      <c r="N1103">
        <v>94.69</v>
      </c>
      <c r="O1103">
        <v>50.07</v>
      </c>
      <c r="P1103">
        <v>94</v>
      </c>
      <c r="Q1103">
        <v>-3</v>
      </c>
      <c r="R1103">
        <v>94</v>
      </c>
      <c r="S1103">
        <v>50</v>
      </c>
      <c r="T1103" t="s">
        <v>58</v>
      </c>
    </row>
    <row r="1104" spans="1:20" x14ac:dyDescent="0.25">
      <c r="A1104">
        <v>21900305</v>
      </c>
      <c r="B1104" t="s">
        <v>10</v>
      </c>
      <c r="C1104" t="s">
        <v>61</v>
      </c>
      <c r="D1104">
        <v>52</v>
      </c>
      <c r="E1104">
        <v>47</v>
      </c>
      <c r="F1104">
        <v>5</v>
      </c>
      <c r="G1104">
        <v>2</v>
      </c>
      <c r="H1104" s="1">
        <v>3.7731481481481483E-3</v>
      </c>
      <c r="I1104">
        <v>2019</v>
      </c>
      <c r="J1104" t="s">
        <v>59</v>
      </c>
      <c r="K1104" s="2" t="str">
        <f>HYPERLINK("https://www.nba.com/stats/events?CFID=&amp;CFPARAMS=&amp;GameEventID=244&amp;GameID=0021900305&amp;Season=2019-20&amp;flag=1&amp;title=P.%20Patterson%2023'%203PT%20%20(10%20PTS)%20(K.%20Leonard%205%20AST)", "P. Patterson 23' 3PT  (10 PTS) (K. Leonard 5 AST)")</f>
        <v>P. Patterson 23' 3PT  (10 PTS) (K. Leonard 5 AST)</v>
      </c>
      <c r="L1104" s="2" t="str">
        <f>HYPERLINK("https://www.nba.com/game/...-vs-...-0021900305/play-by-play?watchFullGame=true", "LAC vs POR - Q2 05:26.00")</f>
        <v>LAC vs POR - Q2 05:26.00</v>
      </c>
      <c r="M1104">
        <v>23.07</v>
      </c>
      <c r="N1104">
        <v>95.06</v>
      </c>
      <c r="O1104">
        <v>3.85</v>
      </c>
      <c r="P1104">
        <v>-231</v>
      </c>
      <c r="Q1104">
        <v>-6</v>
      </c>
      <c r="R1104">
        <v>95</v>
      </c>
      <c r="S1104">
        <v>3</v>
      </c>
      <c r="T1104" t="s">
        <v>58</v>
      </c>
    </row>
    <row r="1105" spans="1:20" x14ac:dyDescent="0.25">
      <c r="A1105">
        <v>21900145</v>
      </c>
      <c r="B1105" t="s">
        <v>10</v>
      </c>
      <c r="C1105" t="s">
        <v>61</v>
      </c>
      <c r="D1105">
        <v>19</v>
      </c>
      <c r="E1105">
        <v>23</v>
      </c>
      <c r="F1105">
        <v>4</v>
      </c>
      <c r="G1105">
        <v>2</v>
      </c>
      <c r="H1105" s="1">
        <v>7.6273148148148151E-3</v>
      </c>
      <c r="I1105">
        <v>2019</v>
      </c>
      <c r="J1105" t="s">
        <v>59</v>
      </c>
      <c r="K1105" s="2" t="str">
        <f>HYPERLINK("https://www.nba.com/stats/events?CFID=&amp;CFPARAMS=&amp;GameEventID=168&amp;GameID=0021900145&amp;Season=2019-20&amp;flag=1&amp;title=[LAC]%20Williams%203pt%20shot:%20Made%20(9%20PTS)%20assist:%20Leonard%20(2%20AST)", "[LAC] Williams 3pt shot: Made (9 PTS) assist: Leonard (2 AST)")</f>
        <v>[LAC] Williams 3pt shot: Made (9 PTS) assist: Leonard (2 AST)</v>
      </c>
      <c r="L1105" s="2" t="str">
        <f>HYPERLINK("https://www.nba.com/game/...-vs-...-0021900145/play-by-play?watchFullGame=true", "LAC vs TOR - Q2 10:59.00")</f>
        <v>LAC vs TOR - Q2 10:59.00</v>
      </c>
      <c r="M1105">
        <v>23.38</v>
      </c>
      <c r="N1105">
        <v>95.58</v>
      </c>
      <c r="O1105">
        <v>96.74</v>
      </c>
      <c r="P1105">
        <v>234</v>
      </c>
      <c r="Q1105">
        <v>-11</v>
      </c>
      <c r="R1105">
        <v>95</v>
      </c>
      <c r="S1105">
        <v>96</v>
      </c>
      <c r="T1105" t="s">
        <v>58</v>
      </c>
    </row>
    <row r="1106" spans="1:20" x14ac:dyDescent="0.25">
      <c r="A1106">
        <v>22300151</v>
      </c>
      <c r="B1106" t="s">
        <v>10</v>
      </c>
      <c r="C1106" t="s">
        <v>9</v>
      </c>
      <c r="D1106">
        <v>38</v>
      </c>
      <c r="E1106">
        <v>36</v>
      </c>
      <c r="F1106">
        <v>2</v>
      </c>
      <c r="G1106">
        <v>2</v>
      </c>
      <c r="H1106" s="1">
        <v>2.0949074074074073E-3</v>
      </c>
      <c r="I1106">
        <v>2023</v>
      </c>
      <c r="J1106" t="s">
        <v>59</v>
      </c>
      <c r="K1106" s="2" t="str">
        <f>HYPERLINK("https://www.nba.com/stats/events?CFID=&amp;CFPARAMS=&amp;GameEventID=239&amp;GameID=0022300151&amp;Season=2023-24&amp;flag=1&amp;title=N.%20Powell%203PT%20%20(6%20PTS)%20(K.%20Leonard%202%20AST)", "N. Powell 3PT  (6 PTS) (K. Leonard 2 AST)")</f>
        <v>N. Powell 3PT  (6 PTS) (K. Leonard 2 AST)</v>
      </c>
      <c r="L1106" s="2" t="str">
        <f>HYPERLINK("https://www.nba.com/game/...-vs-...-0022300151/play-by-play?watchFullGame=true", "LAC vs NYK - Q2 03:01.00")</f>
        <v>LAC vs NYK - Q2 03:01.00</v>
      </c>
      <c r="M1106">
        <v>23.18</v>
      </c>
      <c r="N1106">
        <v>95.48</v>
      </c>
      <c r="O1106">
        <v>3.68</v>
      </c>
      <c r="P1106">
        <v>-232</v>
      </c>
      <c r="Q1106">
        <v>-10</v>
      </c>
      <c r="R1106">
        <v>95</v>
      </c>
      <c r="S1106">
        <v>3</v>
      </c>
      <c r="T1106" t="s">
        <v>58</v>
      </c>
    </row>
    <row r="1107" spans="1:20" x14ac:dyDescent="0.25">
      <c r="A1107">
        <v>21900576</v>
      </c>
      <c r="B1107" t="s">
        <v>4</v>
      </c>
      <c r="C1107" t="s">
        <v>60</v>
      </c>
      <c r="D1107">
        <v>9</v>
      </c>
      <c r="E1107">
        <v>5</v>
      </c>
      <c r="F1107">
        <v>4</v>
      </c>
      <c r="G1107">
        <v>1</v>
      </c>
      <c r="H1107" s="1">
        <v>5.4513888888888893E-3</v>
      </c>
      <c r="I1107">
        <v>2019</v>
      </c>
      <c r="J1107" t="s">
        <v>59</v>
      </c>
      <c r="K1107" s="2" t="str">
        <f>HYPERLINK("https://www.nba.com/stats/events?CFID=&amp;CFPARAMS=&amp;GameEventID=55&amp;GameID=0021900576&amp;Season=2019-20&amp;flag=1&amp;title=I.%20Zubac%209'%20hook%20(2%20PTS)%20(K.%20Leonard%202%20AST)", "I. Zubac 9' hook (2 PTS) (K. Leonard 2 AST)")</f>
        <v>I. Zubac 9' hook (2 PTS) (K. Leonard 2 AST)</v>
      </c>
      <c r="L1107" s="2" t="str">
        <f>HYPERLINK("https://www.nba.com/game/...-vs-...-0021900576/play-by-play?watchFullGame=true", "LAC vs GSW - Q1 07:51.00")</f>
        <v>LAC vs GSW - Q1 07:51.00</v>
      </c>
      <c r="M1107">
        <v>8.94</v>
      </c>
      <c r="N1107">
        <v>95.71</v>
      </c>
      <c r="O1107">
        <v>67.819999999999993</v>
      </c>
      <c r="P1107">
        <v>89</v>
      </c>
      <c r="Q1107">
        <v>-12</v>
      </c>
      <c r="R1107">
        <v>95</v>
      </c>
      <c r="S1107">
        <v>67</v>
      </c>
      <c r="T1107" t="s">
        <v>58</v>
      </c>
    </row>
    <row r="1108" spans="1:20" x14ac:dyDescent="0.25">
      <c r="A1108">
        <v>22200480</v>
      </c>
      <c r="B1108" t="s">
        <v>10</v>
      </c>
      <c r="C1108" t="s">
        <v>9</v>
      </c>
      <c r="D1108">
        <v>49</v>
      </c>
      <c r="E1108">
        <v>36</v>
      </c>
      <c r="F1108">
        <v>13</v>
      </c>
      <c r="G1108">
        <v>2</v>
      </c>
      <c r="H1108" s="1">
        <v>4.5023148148148149E-3</v>
      </c>
      <c r="I1108">
        <v>2022</v>
      </c>
      <c r="J1108" t="s">
        <v>59</v>
      </c>
      <c r="K1108" s="2" t="str">
        <f>HYPERLINK("https://www.nba.com/stats/events?CFID=&amp;CFPARAMS=&amp;GameEventID=197&amp;GameID=0022200480&amp;Season=2022-23&amp;flag=1&amp;title=N.%20Powell%203PT%20%20(8%20PTS)%20(K.%20Leonard%202%20AST)", "N. Powell 3PT  (8 PTS) (K. Leonard 2 AST)")</f>
        <v>N. Powell 3PT  (8 PTS) (K. Leonard 2 AST)</v>
      </c>
      <c r="L1108" s="2" t="str">
        <f>HYPERLINK("https://www.nba.com/game/...-vs-...-0022200480/play-by-play?watchFullGame=true", "LAC vs PHI - Q2 06:29.00")</f>
        <v>LAC vs PHI - Q2 06:29.00</v>
      </c>
      <c r="M1108">
        <v>23.21</v>
      </c>
      <c r="N1108">
        <v>95.98</v>
      </c>
      <c r="O1108">
        <v>3.68</v>
      </c>
      <c r="P1108">
        <v>-232</v>
      </c>
      <c r="Q1108">
        <v>-15</v>
      </c>
      <c r="R1108">
        <v>95</v>
      </c>
      <c r="S1108">
        <v>3</v>
      </c>
      <c r="T1108" t="s">
        <v>58</v>
      </c>
    </row>
    <row r="1109" spans="1:20" x14ac:dyDescent="0.25">
      <c r="A1109">
        <v>22300127</v>
      </c>
      <c r="B1109" t="s">
        <v>4</v>
      </c>
      <c r="C1109" t="s">
        <v>9</v>
      </c>
      <c r="D1109">
        <v>13</v>
      </c>
      <c r="E1109">
        <v>9</v>
      </c>
      <c r="F1109">
        <v>4</v>
      </c>
      <c r="G1109">
        <v>1</v>
      </c>
      <c r="H1109" s="1">
        <v>5.4629629629629629E-3</v>
      </c>
      <c r="I1109">
        <v>2023</v>
      </c>
      <c r="J1109" t="s">
        <v>59</v>
      </c>
      <c r="K1109" s="2" t="str">
        <f>HYPERLINK("https://www.nba.com/stats/events?CFID=&amp;CFPARAMS=&amp;GameEventID=42&amp;GameID=0022300127&amp;Season=2023-24&amp;flag=1&amp;title=B.%20Hyland%2012'%20turnaround%20fadeaway%20Jump%20Shot%20(4%20PTS)%20(K.%20Leonard%201%20AST)", "B. Hyland 12' turnaround fadeaway Jump Shot (4 PTS) (K. Leonard 1 AST)")</f>
        <v>B. Hyland 12' turnaround fadeaway Jump Shot (4 PTS) (K. Leonard 1 AST)</v>
      </c>
      <c r="L1109" s="2" t="str">
        <f>HYPERLINK("https://www.nba.com/game/...-vs-...-0022300127/play-by-play?watchFullGame=true", "LAC vs LAL - Q1 07:52.00")</f>
        <v>LAC vs LAL - Q1 07:52.00</v>
      </c>
      <c r="M1109">
        <v>12.77</v>
      </c>
      <c r="N1109">
        <v>95.19</v>
      </c>
      <c r="O1109">
        <v>75.489999999999995</v>
      </c>
      <c r="P1109">
        <v>127</v>
      </c>
      <c r="Q1109">
        <v>-7</v>
      </c>
      <c r="R1109">
        <v>95</v>
      </c>
      <c r="S1109">
        <v>75</v>
      </c>
      <c r="T1109" t="s">
        <v>58</v>
      </c>
    </row>
    <row r="1110" spans="1:20" x14ac:dyDescent="0.25">
      <c r="A1110">
        <v>22200687</v>
      </c>
      <c r="B1110" t="s">
        <v>10</v>
      </c>
      <c r="C1110" t="s">
        <v>9</v>
      </c>
      <c r="D1110">
        <v>31</v>
      </c>
      <c r="E1110">
        <v>25</v>
      </c>
      <c r="F1110">
        <v>6</v>
      </c>
      <c r="G1110">
        <v>1</v>
      </c>
      <c r="H1110" s="1">
        <v>1.6782407407407408E-3</v>
      </c>
      <c r="I1110">
        <v>2022</v>
      </c>
      <c r="J1110" t="s">
        <v>59</v>
      </c>
      <c r="K1110" s="2" t="str">
        <f>HYPERLINK("https://www.nba.com/stats/events?CFID=&amp;CFPARAMS=&amp;GameEventID=102&amp;GameID=0022200687&amp;Season=2022-23&amp;flag=1&amp;title=P.%20George%203PT%20%20(7%20PTS)%20(K.%20Leonard%202%20AST)", "P. George 3PT  (7 PTS) (K. Leonard 2 AST)")</f>
        <v>P. George 3PT  (7 PTS) (K. Leonard 2 AST)</v>
      </c>
      <c r="L1110" s="2" t="str">
        <f>HYPERLINK("https://www.nba.com/game/...-vs-...-0022200687/play-by-play?watchFullGame=true", "LAC vs SAS - Q1 02:25.00")</f>
        <v>LAC vs SAS - Q1 02:25.00</v>
      </c>
      <c r="M1110">
        <v>22.45</v>
      </c>
      <c r="N1110">
        <v>95.48</v>
      </c>
      <c r="O1110">
        <v>94.85</v>
      </c>
      <c r="P1110">
        <v>224</v>
      </c>
      <c r="Q1110">
        <v>-10</v>
      </c>
      <c r="R1110">
        <v>95</v>
      </c>
      <c r="S1110">
        <v>94</v>
      </c>
      <c r="T1110" t="s">
        <v>58</v>
      </c>
    </row>
    <row r="1111" spans="1:20" x14ac:dyDescent="0.25">
      <c r="A1111">
        <v>21300224</v>
      </c>
      <c r="B1111" t="s">
        <v>4</v>
      </c>
      <c r="C1111" t="s">
        <v>22</v>
      </c>
      <c r="D1111">
        <v>52</v>
      </c>
      <c r="E1111">
        <v>51</v>
      </c>
      <c r="F1111">
        <v>1</v>
      </c>
      <c r="G1111">
        <v>3</v>
      </c>
      <c r="H1111" s="1">
        <v>5.6481481481481478E-3</v>
      </c>
      <c r="I1111">
        <v>2013</v>
      </c>
      <c r="J1111" t="s">
        <v>7</v>
      </c>
      <c r="K1111" s="2" t="str">
        <f>HYPERLINK("https://www.nba.com/stats/events?CFID=&amp;CFPARAMS=&amp;GameEventID=263&amp;GameID=0021300224&amp;Season=2013-14&amp;flag=1&amp;title=Parker%2010'%20Jump%20Bank%20Shot%20(14%20PTS)%20(Leonard%202%20AST)", "Parker 10' Jump Bank Shot (14 PTS) (Leonard 2 AST)")</f>
        <v>Parker 10' Jump Bank Shot (14 PTS) (Leonard 2 AST)</v>
      </c>
      <c r="L1111" s="2" t="str">
        <f>HYPERLINK("https://www.nba.com/game/...-vs-...-0021300224/play-by-play?watchFullGame=true", "SAS vs OKC - Q3 08:08.00")</f>
        <v>SAS vs OKC - Q3 08:08.00</v>
      </c>
      <c r="M1111">
        <v>10</v>
      </c>
      <c r="N1111">
        <v>-93</v>
      </c>
      <c r="O1111">
        <v>37</v>
      </c>
      <c r="P1111">
        <v>-93</v>
      </c>
      <c r="Q1111">
        <v>37</v>
      </c>
      <c r="R1111" t="s">
        <v>0</v>
      </c>
      <c r="S1111" t="s">
        <v>0</v>
      </c>
      <c r="T1111" t="s">
        <v>0</v>
      </c>
    </row>
    <row r="1112" spans="1:20" x14ac:dyDescent="0.25">
      <c r="A1112">
        <v>21300382</v>
      </c>
      <c r="B1112" t="s">
        <v>4</v>
      </c>
      <c r="C1112" t="s">
        <v>9</v>
      </c>
      <c r="D1112">
        <v>4</v>
      </c>
      <c r="E1112">
        <v>4</v>
      </c>
      <c r="F1112">
        <v>0</v>
      </c>
      <c r="G1112">
        <v>1</v>
      </c>
      <c r="H1112" s="1">
        <v>7.2106481481481483E-3</v>
      </c>
      <c r="I1112">
        <v>2013</v>
      </c>
      <c r="J1112" t="s">
        <v>7</v>
      </c>
      <c r="K1112" s="2" t="str">
        <f>HYPERLINK("https://www.nba.com/stats/events?CFID=&amp;CFPARAMS=&amp;GameEventID=10&amp;GameID=0021300382&amp;Season=2013-14&amp;flag=1&amp;title=Mills%2021'%20Jump%20Shot%20(4%20PTS)%20(Leonard%201%20AST)", "Mills 21' Jump Shot (4 PTS) (Leonard 1 AST)")</f>
        <v>Mills 21' Jump Shot (4 PTS) (Leonard 1 AST)</v>
      </c>
      <c r="L1112" s="2" t="str">
        <f>HYPERLINK("https://www.nba.com/game/...-vs-...-0021300382/play-by-play?watchFullGame=true", "SAS vs GSW - Q1 10:23.00")</f>
        <v>SAS vs GSW - Q1 10:23.00</v>
      </c>
      <c r="M1112">
        <v>21</v>
      </c>
      <c r="N1112">
        <v>-198</v>
      </c>
      <c r="O1112">
        <v>66</v>
      </c>
      <c r="P1112">
        <v>-198</v>
      </c>
      <c r="Q1112">
        <v>66</v>
      </c>
      <c r="R1112" t="s">
        <v>0</v>
      </c>
      <c r="S1112" t="s">
        <v>0</v>
      </c>
      <c r="T1112" t="s">
        <v>0</v>
      </c>
    </row>
    <row r="1113" spans="1:20" x14ac:dyDescent="0.25">
      <c r="A1113">
        <v>21300589</v>
      </c>
      <c r="B1113" t="s">
        <v>10</v>
      </c>
      <c r="C1113" t="s">
        <v>9</v>
      </c>
      <c r="D1113">
        <v>76</v>
      </c>
      <c r="E1113">
        <v>77</v>
      </c>
      <c r="F1113">
        <v>1</v>
      </c>
      <c r="G1113">
        <v>3</v>
      </c>
      <c r="H1113" s="1">
        <v>5.6018518518518516E-4</v>
      </c>
      <c r="I1113">
        <v>2013</v>
      </c>
      <c r="J1113" t="s">
        <v>7</v>
      </c>
      <c r="K1113" s="2" t="str">
        <f>HYPERLINK("https://www.nba.com/stats/events?CFID=&amp;CFPARAMS=&amp;GameEventID=366&amp;GameID=0021300589&amp;Season=2013-14&amp;flag=1&amp;title=Ginobili%2025'%203PT%20Jump%20Shot%20(25%20PTS)%20(Leonard%202%20AST)", "Ginobili 25' 3PT Jump Shot (25 PTS) (Leonard 2 AST)")</f>
        <v>Ginobili 25' 3PT Jump Shot (25 PTS) (Leonard 2 AST)</v>
      </c>
      <c r="L1113" s="2" t="str">
        <f>HYPERLINK("https://www.nba.com/game/...-vs-...-0021300589/play-by-play?watchFullGame=true", "SAS vs POR - Q3 00:48.40")</f>
        <v>SAS vs POR - Q3 00:48.40</v>
      </c>
      <c r="M1113">
        <v>25</v>
      </c>
      <c r="N1113">
        <v>144</v>
      </c>
      <c r="O1113">
        <v>206</v>
      </c>
      <c r="P1113">
        <v>144</v>
      </c>
      <c r="Q1113">
        <v>206</v>
      </c>
      <c r="R1113" t="s">
        <v>0</v>
      </c>
      <c r="S1113" t="s">
        <v>0</v>
      </c>
      <c r="T1113" t="s">
        <v>0</v>
      </c>
    </row>
    <row r="1114" spans="1:20" x14ac:dyDescent="0.25">
      <c r="A1114">
        <v>21300600</v>
      </c>
      <c r="B1114" t="s">
        <v>4</v>
      </c>
      <c r="C1114" t="s">
        <v>14</v>
      </c>
      <c r="D1114">
        <v>113</v>
      </c>
      <c r="E1114">
        <v>90</v>
      </c>
      <c r="F1114">
        <v>23</v>
      </c>
      <c r="G1114">
        <v>4</v>
      </c>
      <c r="H1114" s="1">
        <v>3.7962962962962963E-3</v>
      </c>
      <c r="I1114">
        <v>2013</v>
      </c>
      <c r="J1114" t="s">
        <v>12</v>
      </c>
      <c r="K1114" s="2" t="str">
        <f>HYPERLINK("https://www.nba.com/stats/events?CFID=&amp;CFPARAMS=&amp;GameEventID=535&amp;GameID=0021300600&amp;Season=2013-14&amp;flag=1&amp;title=Robinson%2018'%20Step%20Back%20Jump%20Shot%20(8%20PTS)%20(Leonard%202%20AST)", "Robinson 18' Step Back Jump Shot (8 PTS) (Leonard 2 AST)")</f>
        <v>Robinson 18' Step Back Jump Shot (8 PTS) (Leonard 2 AST)</v>
      </c>
      <c r="L1114" s="2" t="str">
        <f>HYPERLINK("https://www.nba.com/game/...-vs-...-0021300600/play-by-play?watchFullGame=true", "POR vs DAL - Q4 05:28.00")</f>
        <v>POR vs DAL - Q4 05:28.00</v>
      </c>
      <c r="M1114">
        <v>18</v>
      </c>
      <c r="N1114">
        <v>-130</v>
      </c>
      <c r="O1114">
        <v>118</v>
      </c>
      <c r="P1114">
        <v>-130</v>
      </c>
      <c r="Q1114">
        <v>118</v>
      </c>
      <c r="R1114" t="s">
        <v>0</v>
      </c>
      <c r="S1114" t="s">
        <v>0</v>
      </c>
      <c r="T1114" t="s">
        <v>0</v>
      </c>
    </row>
    <row r="1115" spans="1:20" x14ac:dyDescent="0.25">
      <c r="A1115">
        <v>21300859</v>
      </c>
      <c r="B1115" t="s">
        <v>4</v>
      </c>
      <c r="C1115" t="s">
        <v>16</v>
      </c>
      <c r="D1115">
        <v>61</v>
      </c>
      <c r="E1115">
        <v>59</v>
      </c>
      <c r="F1115">
        <v>2</v>
      </c>
      <c r="G1115">
        <v>3</v>
      </c>
      <c r="H1115" s="1">
        <v>6.9328703703703705E-3</v>
      </c>
      <c r="I1115">
        <v>2013</v>
      </c>
      <c r="J1115" t="s">
        <v>7</v>
      </c>
      <c r="K1115" s="2" t="str">
        <f>HYPERLINK("https://www.nba.com/stats/events?CFID=&amp;CFPARAMS=&amp;GameEventID=275&amp;GameID=0021300859&amp;Season=2013-14&amp;flag=1&amp;title=Duncan%201'%20Running%20Dunk%20(10%20PTS)%20(Leonard%203%20AST)", "Duncan 1' Running Dunk (10 PTS) (Leonard 3 AST)")</f>
        <v>Duncan 1' Running Dunk (10 PTS) (Leonard 3 AST)</v>
      </c>
      <c r="L1115" s="2" t="str">
        <f>HYPERLINK("https://www.nba.com/game/...-vs-...-0021300859/play-by-play?watchFullGame=true", "SAS vs DET - Q3 09:59.00")</f>
        <v>SAS vs DET - Q3 09:59.00</v>
      </c>
      <c r="M1115">
        <v>1</v>
      </c>
      <c r="N1115">
        <v>7</v>
      </c>
      <c r="O1115">
        <v>1</v>
      </c>
      <c r="P1115">
        <v>7</v>
      </c>
      <c r="Q1115">
        <v>1</v>
      </c>
      <c r="R1115" t="s">
        <v>0</v>
      </c>
      <c r="S1115" t="s">
        <v>0</v>
      </c>
      <c r="T1115" t="s">
        <v>0</v>
      </c>
    </row>
    <row r="1116" spans="1:20" x14ac:dyDescent="0.25">
      <c r="A1116">
        <v>21300913</v>
      </c>
      <c r="B1116" t="s">
        <v>10</v>
      </c>
      <c r="C1116" t="s">
        <v>9</v>
      </c>
      <c r="D1116">
        <v>20</v>
      </c>
      <c r="E1116">
        <v>13</v>
      </c>
      <c r="F1116">
        <v>7</v>
      </c>
      <c r="G1116">
        <v>1</v>
      </c>
      <c r="H1116" s="1">
        <v>2.5578703703703705E-3</v>
      </c>
      <c r="I1116">
        <v>2013</v>
      </c>
      <c r="J1116" t="s">
        <v>12</v>
      </c>
      <c r="K1116" s="2" t="str">
        <f>HYPERLINK("https://www.nba.com/stats/events?CFID=&amp;CFPARAMS=&amp;GameEventID=85&amp;GameID=0021300913&amp;Season=2013-14&amp;flag=1&amp;title=Lillard%2025'%203PT%20Jump%20Shot%20(7%20PTS)%20(Leonard%201%20AST)", "Lillard 25' 3PT Jump Shot (7 PTS) (Leonard 1 AST)")</f>
        <v>Lillard 25' 3PT Jump Shot (7 PTS) (Leonard 1 AST)</v>
      </c>
      <c r="L1116" s="2" t="str">
        <f>HYPERLINK("https://www.nba.com/game/...-vs-...-0021300913/play-by-play?watchFullGame=true", "POR vs ATL - Q1 03:41.00")</f>
        <v>POR vs ATL - Q1 03:41.00</v>
      </c>
      <c r="M1116">
        <v>25</v>
      </c>
      <c r="N1116">
        <v>26</v>
      </c>
      <c r="O1116">
        <v>246</v>
      </c>
      <c r="P1116">
        <v>26</v>
      </c>
      <c r="Q1116">
        <v>246</v>
      </c>
      <c r="R1116" t="s">
        <v>0</v>
      </c>
      <c r="S1116" t="s">
        <v>0</v>
      </c>
      <c r="T1116" t="s">
        <v>0</v>
      </c>
    </row>
    <row r="1117" spans="1:20" x14ac:dyDescent="0.25">
      <c r="A1117">
        <v>21300932</v>
      </c>
      <c r="B1117" t="s">
        <v>10</v>
      </c>
      <c r="C1117" t="s">
        <v>9</v>
      </c>
      <c r="D1117">
        <v>53</v>
      </c>
      <c r="E1117">
        <v>55</v>
      </c>
      <c r="F1117">
        <v>2</v>
      </c>
      <c r="G1117">
        <v>2</v>
      </c>
      <c r="H1117" s="1">
        <v>1.3657407407407407E-3</v>
      </c>
      <c r="I1117">
        <v>2013</v>
      </c>
      <c r="J1117" t="s">
        <v>7</v>
      </c>
      <c r="K1117" s="2" t="str">
        <f>HYPERLINK("https://www.nba.com/stats/events?CFID=&amp;CFPARAMS=&amp;GameEventID=219&amp;GameID=0021300932&amp;Season=2013-14&amp;flag=1&amp;title=Ginobili%20%203PT%20Jump%20Shot%20(10%20PTS)%20(Leonard%203%20AST)", "Ginobili  3PT Jump Shot (10 PTS) (Leonard 3 AST)")</f>
        <v>Ginobili  3PT Jump Shot (10 PTS) (Leonard 3 AST)</v>
      </c>
      <c r="L1117" s="2" t="str">
        <f>HYPERLINK("https://www.nba.com/game/...-vs-...-0021300932/play-by-play?watchFullGame=true", "SAS vs ORL - Q2 01:58.00")</f>
        <v>SAS vs ORL - Q2 01:58.00</v>
      </c>
      <c r="M1117">
        <v>0</v>
      </c>
      <c r="N1117">
        <v>234</v>
      </c>
      <c r="O1117">
        <v>4</v>
      </c>
      <c r="P1117">
        <v>234</v>
      </c>
      <c r="Q1117">
        <v>4</v>
      </c>
      <c r="R1117" t="s">
        <v>0</v>
      </c>
      <c r="S1117" t="s">
        <v>0</v>
      </c>
      <c r="T1117" t="s">
        <v>0</v>
      </c>
    </row>
    <row r="1118" spans="1:20" x14ac:dyDescent="0.25">
      <c r="A1118">
        <v>21300932</v>
      </c>
      <c r="B1118" t="s">
        <v>10</v>
      </c>
      <c r="C1118" t="s">
        <v>9</v>
      </c>
      <c r="D1118">
        <v>66</v>
      </c>
      <c r="E1118">
        <v>67</v>
      </c>
      <c r="F1118">
        <v>1</v>
      </c>
      <c r="G1118">
        <v>3</v>
      </c>
      <c r="H1118" s="1">
        <v>5.7291666666666663E-3</v>
      </c>
      <c r="I1118">
        <v>2013</v>
      </c>
      <c r="J1118" t="s">
        <v>7</v>
      </c>
      <c r="K1118" s="2" t="str">
        <f>HYPERLINK("https://www.nba.com/stats/events?CFID=&amp;CFPARAMS=&amp;GameEventID=276&amp;GameID=0021300932&amp;Season=2013-14&amp;flag=1&amp;title=Green%2025'%203PT%20Jump%20Shot%20(9%20PTS)%20(Leonard%204%20AST)", "Green 25' 3PT Jump Shot (9 PTS) (Leonard 4 AST)")</f>
        <v>Green 25' 3PT Jump Shot (9 PTS) (Leonard 4 AST)</v>
      </c>
      <c r="L1118" s="2" t="str">
        <f>HYPERLINK("https://www.nba.com/game/...-vs-...-0021300932/play-by-play?watchFullGame=true", "SAS vs ORL - Q3 08:15.00")</f>
        <v>SAS vs ORL - Q3 08:15.00</v>
      </c>
      <c r="M1118">
        <v>25</v>
      </c>
      <c r="N1118">
        <v>-201</v>
      </c>
      <c r="O1118">
        <v>151</v>
      </c>
      <c r="P1118">
        <v>-201</v>
      </c>
      <c r="Q1118">
        <v>151</v>
      </c>
      <c r="R1118" t="s">
        <v>0</v>
      </c>
      <c r="S1118" t="s">
        <v>0</v>
      </c>
      <c r="T1118" t="s">
        <v>0</v>
      </c>
    </row>
    <row r="1119" spans="1:20" x14ac:dyDescent="0.25">
      <c r="A1119">
        <v>21300117</v>
      </c>
      <c r="B1119" t="s">
        <v>4</v>
      </c>
      <c r="C1119" t="s">
        <v>9</v>
      </c>
      <c r="D1119">
        <v>60</v>
      </c>
      <c r="E1119">
        <v>53</v>
      </c>
      <c r="F1119">
        <v>7</v>
      </c>
      <c r="G1119">
        <v>3</v>
      </c>
      <c r="H1119" s="1">
        <v>3.6574074074074074E-3</v>
      </c>
      <c r="I1119">
        <v>2013</v>
      </c>
      <c r="J1119" t="s">
        <v>7</v>
      </c>
      <c r="K1119" s="2" t="str">
        <f>HYPERLINK("https://www.nba.com/stats/events?CFID=&amp;CFPARAMS=&amp;GameEventID=280&amp;GameID=0021300117&amp;Season=2013-14&amp;flag=1&amp;title=Parker%206'%20Jump%20Shot%20(16%20PTS)%20(Leonard%202%20AST)", "Parker 6' Jump Shot (16 PTS) (Leonard 2 AST)")</f>
        <v>Parker 6' Jump Shot (16 PTS) (Leonard 2 AST)</v>
      </c>
      <c r="L1119" s="2" t="str">
        <f>HYPERLINK("https://www.nba.com/game/...-vs-...-0021300117/play-by-play?watchFullGame=true", "SAS vs WAS - Q3 05:16.00")</f>
        <v>SAS vs WAS - Q3 05:16.00</v>
      </c>
      <c r="M1119">
        <v>6</v>
      </c>
      <c r="N1119">
        <v>-18</v>
      </c>
      <c r="O1119">
        <v>60</v>
      </c>
      <c r="P1119">
        <v>-18</v>
      </c>
      <c r="Q1119">
        <v>60</v>
      </c>
      <c r="R1119" t="s">
        <v>0</v>
      </c>
      <c r="S1119" t="s">
        <v>0</v>
      </c>
      <c r="T1119" t="s">
        <v>0</v>
      </c>
    </row>
    <row r="1120" spans="1:20" x14ac:dyDescent="0.25">
      <c r="A1120">
        <v>21300245</v>
      </c>
      <c r="B1120" t="s">
        <v>10</v>
      </c>
      <c r="C1120" t="s">
        <v>9</v>
      </c>
      <c r="D1120">
        <v>60</v>
      </c>
      <c r="E1120">
        <v>72</v>
      </c>
      <c r="F1120">
        <v>12</v>
      </c>
      <c r="G1120">
        <v>3</v>
      </c>
      <c r="H1120" s="1">
        <v>4.8263888888888887E-3</v>
      </c>
      <c r="I1120">
        <v>2013</v>
      </c>
      <c r="J1120" t="s">
        <v>7</v>
      </c>
      <c r="K1120" s="2" t="str">
        <f>HYPERLINK("https://www.nba.com/stats/events?CFID=&amp;CFPARAMS=&amp;GameEventID=289&amp;GameID=0021300245&amp;Season=2013-14&amp;flag=1&amp;title=Bonner%2025'%203PT%20Jump%20Shot%20(3%20PTS)%20(Leonard%201%20AST)", "Bonner 25' 3PT Jump Shot (3 PTS) (Leonard 1 AST)")</f>
        <v>Bonner 25' 3PT Jump Shot (3 PTS) (Leonard 1 AST)</v>
      </c>
      <c r="L1120" s="2" t="str">
        <f>HYPERLINK("https://www.nba.com/game/...-vs-...-0021300245/play-by-play?watchFullGame=true", "SAS vs HOU - Q3 06:57.00")</f>
        <v>SAS vs HOU - Q3 06:57.00</v>
      </c>
      <c r="M1120">
        <v>25</v>
      </c>
      <c r="N1120">
        <v>-171</v>
      </c>
      <c r="O1120">
        <v>184</v>
      </c>
      <c r="P1120">
        <v>-171</v>
      </c>
      <c r="Q1120">
        <v>184</v>
      </c>
      <c r="R1120" t="s">
        <v>0</v>
      </c>
      <c r="S1120" t="s">
        <v>0</v>
      </c>
      <c r="T1120" t="s">
        <v>0</v>
      </c>
    </row>
    <row r="1121" spans="1:20" x14ac:dyDescent="0.25">
      <c r="A1121">
        <v>21300312</v>
      </c>
      <c r="B1121" t="s">
        <v>4</v>
      </c>
      <c r="C1121" t="s">
        <v>9</v>
      </c>
      <c r="D1121">
        <v>69</v>
      </c>
      <c r="E1121">
        <v>60</v>
      </c>
      <c r="F1121">
        <v>9</v>
      </c>
      <c r="G1121">
        <v>3</v>
      </c>
      <c r="H1121" s="1">
        <v>5.4398148148148149E-3</v>
      </c>
      <c r="I1121">
        <v>2013</v>
      </c>
      <c r="J1121" t="s">
        <v>7</v>
      </c>
      <c r="K1121" s="2" t="str">
        <f>HYPERLINK("https://www.nba.com/stats/events?CFID=&amp;CFPARAMS=&amp;GameEventID=279&amp;GameID=0021300312&amp;Season=2013-14&amp;flag=1&amp;title=Duncan%2017'%20Jump%20Shot%20(9%20PTS)%20(Leonard%203%20AST)", "Duncan 17' Jump Shot (9 PTS) (Leonard 3 AST)")</f>
        <v>Duncan 17' Jump Shot (9 PTS) (Leonard 3 AST)</v>
      </c>
      <c r="L1121" s="2" t="str">
        <f>HYPERLINK("https://www.nba.com/game/...-vs-...-0021300312/play-by-play?watchFullGame=true", "SAS vs TOR - Q3 07:50.00")</f>
        <v>SAS vs TOR - Q3 07:50.00</v>
      </c>
      <c r="M1121">
        <v>17</v>
      </c>
      <c r="N1121">
        <v>-32</v>
      </c>
      <c r="O1121">
        <v>162</v>
      </c>
      <c r="P1121">
        <v>-32</v>
      </c>
      <c r="Q1121">
        <v>162</v>
      </c>
      <c r="R1121" t="s">
        <v>0</v>
      </c>
      <c r="S1121" t="s">
        <v>0</v>
      </c>
      <c r="T1121" t="s">
        <v>0</v>
      </c>
    </row>
    <row r="1122" spans="1:20" x14ac:dyDescent="0.25">
      <c r="A1122">
        <v>21300898</v>
      </c>
      <c r="B1122" t="s">
        <v>10</v>
      </c>
      <c r="C1122" t="s">
        <v>9</v>
      </c>
      <c r="D1122">
        <v>39</v>
      </c>
      <c r="E1122">
        <v>36</v>
      </c>
      <c r="F1122">
        <v>3</v>
      </c>
      <c r="G1122">
        <v>2</v>
      </c>
      <c r="H1122" s="1">
        <v>3.5300925925925925E-3</v>
      </c>
      <c r="I1122">
        <v>2013</v>
      </c>
      <c r="J1122" t="s">
        <v>7</v>
      </c>
      <c r="K1122" s="2" t="str">
        <f>HYPERLINK("https://www.nba.com/stats/events?CFID=&amp;CFPARAMS=&amp;GameEventID=216&amp;GameID=0021300898&amp;Season=2013-14&amp;flag=1&amp;title=Mills%2028'%203PT%20Jump%20Shot%20(10%20PTS)%20(Leonard%203%20AST)", "Mills 28' 3PT Jump Shot (10 PTS) (Leonard 3 AST)")</f>
        <v>Mills 28' 3PT Jump Shot (10 PTS) (Leonard 3 AST)</v>
      </c>
      <c r="L1122" s="2" t="str">
        <f>HYPERLINK("https://www.nba.com/game/...-vs-...-0021300898/play-by-play?watchFullGame=true", "SAS vs CLE - Q2 05:05.00")</f>
        <v>SAS vs CLE - Q2 05:05.00</v>
      </c>
      <c r="M1122">
        <v>28</v>
      </c>
      <c r="N1122">
        <v>-128</v>
      </c>
      <c r="O1122">
        <v>254</v>
      </c>
      <c r="P1122">
        <v>-128</v>
      </c>
      <c r="Q1122">
        <v>254</v>
      </c>
      <c r="R1122" t="s">
        <v>0</v>
      </c>
      <c r="S1122" t="s">
        <v>0</v>
      </c>
      <c r="T1122" t="s">
        <v>0</v>
      </c>
    </row>
    <row r="1123" spans="1:20" x14ac:dyDescent="0.25">
      <c r="A1123">
        <v>21300977</v>
      </c>
      <c r="B1123" t="s">
        <v>10</v>
      </c>
      <c r="C1123" t="s">
        <v>9</v>
      </c>
      <c r="D1123">
        <v>25</v>
      </c>
      <c r="E1123">
        <v>21</v>
      </c>
      <c r="F1123">
        <v>4</v>
      </c>
      <c r="G1123">
        <v>1</v>
      </c>
      <c r="H1123" s="1">
        <v>1.9328703703703704E-3</v>
      </c>
      <c r="I1123">
        <v>2013</v>
      </c>
      <c r="J1123" t="s">
        <v>12</v>
      </c>
      <c r="K1123" s="2" t="str">
        <f>HYPERLINK("https://www.nba.com/stats/events?CFID=&amp;CFPARAMS=&amp;GameEventID=90&amp;GameID=0021300977&amp;Season=2013-14&amp;flag=1&amp;title=Batum%2026'%203PT%20Jump%20Shot%20(8%20PTS)%20(Leonard%202%20AST)", "Batum 26' 3PT Jump Shot (8 PTS) (Leonard 2 AST)")</f>
        <v>Batum 26' 3PT Jump Shot (8 PTS) (Leonard 2 AST)</v>
      </c>
      <c r="L1123" s="2" t="str">
        <f>HYPERLINK("https://www.nba.com/game/...-vs-...-0021300977/play-by-play?watchFullGame=true", "POR vs NOP - Q1 02:47.00")</f>
        <v>POR vs NOP - Q1 02:47.00</v>
      </c>
      <c r="M1123">
        <v>26</v>
      </c>
      <c r="N1123">
        <v>-182</v>
      </c>
      <c r="O1123">
        <v>190</v>
      </c>
      <c r="P1123">
        <v>-182</v>
      </c>
      <c r="Q1123">
        <v>190</v>
      </c>
      <c r="R1123" t="s">
        <v>0</v>
      </c>
      <c r="S1123" t="s">
        <v>0</v>
      </c>
      <c r="T1123" t="s">
        <v>0</v>
      </c>
    </row>
    <row r="1124" spans="1:20" x14ac:dyDescent="0.25">
      <c r="A1124">
        <v>21400314</v>
      </c>
      <c r="B1124" t="s">
        <v>4</v>
      </c>
      <c r="C1124" t="s">
        <v>5</v>
      </c>
      <c r="D1124">
        <v>82</v>
      </c>
      <c r="E1124">
        <v>87</v>
      </c>
      <c r="F1124">
        <v>5</v>
      </c>
      <c r="G1124">
        <v>4</v>
      </c>
      <c r="H1124" s="1">
        <v>3.7268518518518519E-3</v>
      </c>
      <c r="I1124">
        <v>2014</v>
      </c>
      <c r="J1124" t="s">
        <v>7</v>
      </c>
      <c r="K1124" s="2" t="str">
        <f>HYPERLINK("https://www.nba.com/stats/events?CFID=&amp;CFPARAMS=&amp;GameEventID=429&amp;GameID=0021400314&amp;Season=2014-15&amp;flag=1&amp;title=Joseph%202'%20Layup%20(7%20PTS)%20(Leonard%204%20AST)", "Joseph 2' Layup (7 PTS) (Leonard 4 AST)")</f>
        <v>Joseph 2' Layup (7 PTS) (Leonard 4 AST)</v>
      </c>
      <c r="L1124" s="2" t="str">
        <f>HYPERLINK("https://www.nba.com/game/...-vs-...-0021400314/play-by-play?watchFullGame=true", "SAS vs UTA - Q4 05:22.00")</f>
        <v>SAS vs UTA - Q4 05:22.00</v>
      </c>
      <c r="M1124">
        <v>2</v>
      </c>
      <c r="N1124">
        <v>21</v>
      </c>
      <c r="O1124">
        <v>3</v>
      </c>
      <c r="P1124">
        <v>21</v>
      </c>
      <c r="Q1124">
        <v>3</v>
      </c>
      <c r="R1124" t="s">
        <v>0</v>
      </c>
      <c r="S1124" t="s">
        <v>0</v>
      </c>
      <c r="T1124" t="s">
        <v>0</v>
      </c>
    </row>
    <row r="1125" spans="1:20" x14ac:dyDescent="0.25">
      <c r="A1125">
        <v>21400354</v>
      </c>
      <c r="B1125" t="s">
        <v>4</v>
      </c>
      <c r="C1125" t="s">
        <v>56</v>
      </c>
      <c r="D1125">
        <v>39</v>
      </c>
      <c r="E1125">
        <v>29</v>
      </c>
      <c r="F1125">
        <v>10</v>
      </c>
      <c r="G1125">
        <v>2</v>
      </c>
      <c r="H1125" s="1">
        <v>2.1875000000000002E-3</v>
      </c>
      <c r="I1125">
        <v>2014</v>
      </c>
      <c r="J1125" t="s">
        <v>7</v>
      </c>
      <c r="K1125" s="2" t="str">
        <f>HYPERLINK("https://www.nba.com/stats/events?CFID=&amp;CFPARAMS=&amp;GameEventID=224&amp;GameID=0021400354&amp;Season=2014-15&amp;flag=1&amp;title=Splitter%207'%20Jump%20Hook%20Shot%20(7%20PTS)%20(Leonard%202%20AST)", "Splitter 7' Jump Hook Shot (7 PTS) (Leonard 2 AST)")</f>
        <v>Splitter 7' Jump Hook Shot (7 PTS) (Leonard 2 AST)</v>
      </c>
      <c r="L1125" s="2" t="str">
        <f>HYPERLINK("https://www.nba.com/game/...-vs-...-0021400354/play-by-play?watchFullGame=true", "SAS vs DEN - Q2 03:09.00")</f>
        <v>SAS vs DEN - Q2 03:09.00</v>
      </c>
      <c r="M1125">
        <v>7</v>
      </c>
      <c r="N1125">
        <v>-18</v>
      </c>
      <c r="O1125">
        <v>72</v>
      </c>
      <c r="P1125">
        <v>-18</v>
      </c>
      <c r="Q1125">
        <v>72</v>
      </c>
      <c r="R1125" t="s">
        <v>0</v>
      </c>
      <c r="S1125" t="s">
        <v>0</v>
      </c>
      <c r="T1125" t="s">
        <v>0</v>
      </c>
    </row>
    <row r="1126" spans="1:20" x14ac:dyDescent="0.25">
      <c r="A1126">
        <v>21400354</v>
      </c>
      <c r="B1126" t="s">
        <v>4</v>
      </c>
      <c r="C1126" t="s">
        <v>5</v>
      </c>
      <c r="D1126">
        <v>33</v>
      </c>
      <c r="E1126">
        <v>29</v>
      </c>
      <c r="F1126">
        <v>4</v>
      </c>
      <c r="G1126">
        <v>2</v>
      </c>
      <c r="H1126" s="1">
        <v>3.9699074074074072E-3</v>
      </c>
      <c r="I1126">
        <v>2014</v>
      </c>
      <c r="J1126" t="s">
        <v>7</v>
      </c>
      <c r="K1126" s="2" t="str">
        <f>HYPERLINK("https://www.nba.com/stats/events?CFID=&amp;CFPARAMS=&amp;GameEventID=198&amp;GameID=0021400354&amp;Season=2014-15&amp;flag=1&amp;title=Splitter%202'%20Layup%20(5%20PTS)%20(Leonard%201%20AST)", "Splitter 2' Layup (5 PTS) (Leonard 1 AST)")</f>
        <v>Splitter 2' Layup (5 PTS) (Leonard 1 AST)</v>
      </c>
      <c r="L1126" s="2" t="str">
        <f>HYPERLINK("https://www.nba.com/game/...-vs-...-0021400354/play-by-play?watchFullGame=true", "SAS vs DEN - Q2 05:43.00")</f>
        <v>SAS vs DEN - Q2 05:43.00</v>
      </c>
      <c r="M1126">
        <v>2</v>
      </c>
      <c r="N1126">
        <v>-13</v>
      </c>
      <c r="O1126">
        <v>20</v>
      </c>
      <c r="P1126">
        <v>-13</v>
      </c>
      <c r="Q1126">
        <v>20</v>
      </c>
      <c r="R1126" t="s">
        <v>0</v>
      </c>
      <c r="S1126" t="s">
        <v>0</v>
      </c>
      <c r="T1126" t="s">
        <v>0</v>
      </c>
    </row>
    <row r="1127" spans="1:20" x14ac:dyDescent="0.25">
      <c r="A1127">
        <v>21301102</v>
      </c>
      <c r="B1127" t="s">
        <v>4</v>
      </c>
      <c r="C1127" t="s">
        <v>38</v>
      </c>
      <c r="D1127">
        <v>87</v>
      </c>
      <c r="E1127">
        <v>71</v>
      </c>
      <c r="F1127">
        <v>16</v>
      </c>
      <c r="G1127">
        <v>4</v>
      </c>
      <c r="H1127" s="1">
        <v>3.5416666666666665E-3</v>
      </c>
      <c r="I1127">
        <v>2013</v>
      </c>
      <c r="J1127" t="s">
        <v>7</v>
      </c>
      <c r="K1127" s="2" t="str">
        <f>HYPERLINK("https://www.nba.com/stats/events?CFID=&amp;CFPARAMS=&amp;GameEventID=427&amp;GameID=0021301102&amp;Season=2013-14&amp;flag=1&amp;title=Duncan%202'%20Dunk%20(9%20PTS)%20(Leonard%202%20AST)", "Duncan 2' Dunk (9 PTS) (Leonard 2 AST)")</f>
        <v>Duncan 2' Dunk (9 PTS) (Leonard 2 AST)</v>
      </c>
      <c r="L1127" s="2" t="str">
        <f>HYPERLINK("https://www.nba.com/game/...-vs-...-0021301102/play-by-play?watchFullGame=true", "SAS vs IND - Q4 05:06.00")</f>
        <v>SAS vs IND - Q4 05:06.00</v>
      </c>
      <c r="M1127">
        <v>2</v>
      </c>
      <c r="N1127">
        <v>17</v>
      </c>
      <c r="O1127">
        <v>12</v>
      </c>
      <c r="P1127">
        <v>17</v>
      </c>
      <c r="Q1127">
        <v>12</v>
      </c>
      <c r="R1127" t="s">
        <v>0</v>
      </c>
      <c r="S1127" t="s">
        <v>0</v>
      </c>
      <c r="T1127" t="s">
        <v>0</v>
      </c>
    </row>
    <row r="1128" spans="1:20" x14ac:dyDescent="0.25">
      <c r="A1128">
        <v>21301127</v>
      </c>
      <c r="B1128" t="s">
        <v>10</v>
      </c>
      <c r="C1128" t="s">
        <v>9</v>
      </c>
      <c r="D1128">
        <v>80</v>
      </c>
      <c r="E1128">
        <v>91</v>
      </c>
      <c r="F1128">
        <v>11</v>
      </c>
      <c r="G1128">
        <v>4</v>
      </c>
      <c r="H1128" s="1">
        <v>4.6064814814814814E-3</v>
      </c>
      <c r="I1128">
        <v>2013</v>
      </c>
      <c r="J1128" t="s">
        <v>7</v>
      </c>
      <c r="K1128" s="2" t="str">
        <f>HYPERLINK("https://www.nba.com/stats/events?CFID=&amp;CFPARAMS=&amp;GameEventID=439&amp;GameID=0021301127&amp;Season=2013-14&amp;flag=1&amp;title=Mills%20%203PT%20Jump%20Shot%20(18%20PTS)%20(Leonard%203%20AST)", "Mills  3PT Jump Shot (18 PTS) (Leonard 3 AST)")</f>
        <v>Mills  3PT Jump Shot (18 PTS) (Leonard 3 AST)</v>
      </c>
      <c r="L1128" s="2" t="str">
        <f>HYPERLINK("https://www.nba.com/game/...-vs-...-0021301127/play-by-play?watchFullGame=true", "SAS vs OKC - Q4 06:38.00")</f>
        <v>SAS vs OKC - Q4 06:38.00</v>
      </c>
      <c r="M1128">
        <v>0</v>
      </c>
      <c r="N1128">
        <v>-224</v>
      </c>
      <c r="O1128">
        <v>47</v>
      </c>
      <c r="P1128">
        <v>-224</v>
      </c>
      <c r="Q1128">
        <v>47</v>
      </c>
      <c r="R1128" t="s">
        <v>0</v>
      </c>
      <c r="S1128" t="s">
        <v>0</v>
      </c>
      <c r="T1128" t="s">
        <v>0</v>
      </c>
    </row>
    <row r="1129" spans="1:20" x14ac:dyDescent="0.25">
      <c r="A1129">
        <v>21301221</v>
      </c>
      <c r="B1129" t="s">
        <v>10</v>
      </c>
      <c r="C1129" t="s">
        <v>9</v>
      </c>
      <c r="D1129">
        <v>12</v>
      </c>
      <c r="E1129">
        <v>14</v>
      </c>
      <c r="F1129">
        <v>2</v>
      </c>
      <c r="G1129">
        <v>1</v>
      </c>
      <c r="H1129" s="1">
        <v>4.9652777777777777E-3</v>
      </c>
      <c r="I1129">
        <v>2013</v>
      </c>
      <c r="J1129" t="s">
        <v>7</v>
      </c>
      <c r="K1129" s="2" t="str">
        <f>HYPERLINK("https://www.nba.com/stats/events?CFID=&amp;CFPARAMS=&amp;GameEventID=54&amp;GameID=0021301221&amp;Season=2013-14&amp;flag=1&amp;title=Green%2025'%203PT%20Jump%20Shot%20(6%20PTS)%20(Leonard%201%20AST)", "Green 25' 3PT Jump Shot (6 PTS) (Leonard 1 AST)")</f>
        <v>Green 25' 3PT Jump Shot (6 PTS) (Leonard 1 AST)</v>
      </c>
      <c r="L1129" s="2" t="str">
        <f>HYPERLINK("https://www.nba.com/game/...-vs-...-0021301221/play-by-play?watchFullGame=true", "SAS vs LAL - Q1 07:09.00")</f>
        <v>SAS vs LAL - Q1 07:09.00</v>
      </c>
      <c r="M1129">
        <v>25</v>
      </c>
      <c r="N1129">
        <v>132</v>
      </c>
      <c r="O1129">
        <v>217</v>
      </c>
      <c r="P1129">
        <v>132</v>
      </c>
      <c r="Q1129">
        <v>217</v>
      </c>
      <c r="R1129" t="s">
        <v>0</v>
      </c>
      <c r="S1129" t="s">
        <v>0</v>
      </c>
      <c r="T1129" t="s">
        <v>0</v>
      </c>
    </row>
    <row r="1130" spans="1:20" x14ac:dyDescent="0.25">
      <c r="A1130">
        <v>21400354</v>
      </c>
      <c r="B1130" t="s">
        <v>4</v>
      </c>
      <c r="C1130" t="s">
        <v>26</v>
      </c>
      <c r="D1130">
        <v>47</v>
      </c>
      <c r="E1130">
        <v>34</v>
      </c>
      <c r="F1130">
        <v>13</v>
      </c>
      <c r="G1130">
        <v>3</v>
      </c>
      <c r="H1130" s="1">
        <v>8.2638888888888883E-3</v>
      </c>
      <c r="I1130">
        <v>2014</v>
      </c>
      <c r="J1130" t="s">
        <v>7</v>
      </c>
      <c r="K1130" s="2" t="str">
        <f>HYPERLINK("https://www.nba.com/stats/events?CFID=&amp;CFPARAMS=&amp;GameEventID=271&amp;GameID=0021400354&amp;Season=2014-15&amp;flag=1&amp;title=Splitter%202'%20Reverse%20Layup%20(9%20PTS)%20(Leonard%203%20AST)", "Splitter 2' Reverse Layup (9 PTS) (Leonard 3 AST)")</f>
        <v>Splitter 2' Reverse Layup (9 PTS) (Leonard 3 AST)</v>
      </c>
      <c r="L1130" s="2" t="str">
        <f>HYPERLINK("https://www.nba.com/game/...-vs-...-0021400354/play-by-play?watchFullGame=true", "SAS vs DEN - Q3 11:54.00")</f>
        <v>SAS vs DEN - Q3 11:54.00</v>
      </c>
      <c r="M1130">
        <v>2</v>
      </c>
      <c r="N1130">
        <v>21</v>
      </c>
      <c r="O1130">
        <v>6</v>
      </c>
      <c r="P1130">
        <v>21</v>
      </c>
      <c r="Q1130">
        <v>6</v>
      </c>
      <c r="R1130" t="s">
        <v>0</v>
      </c>
      <c r="S1130" t="s">
        <v>0</v>
      </c>
      <c r="T1130" t="s">
        <v>0</v>
      </c>
    </row>
    <row r="1131" spans="1:20" x14ac:dyDescent="0.25">
      <c r="A1131">
        <v>21400689</v>
      </c>
      <c r="B1131" t="s">
        <v>10</v>
      </c>
      <c r="C1131" t="s">
        <v>9</v>
      </c>
      <c r="D1131">
        <v>22</v>
      </c>
      <c r="E1131">
        <v>17</v>
      </c>
      <c r="F1131">
        <v>5</v>
      </c>
      <c r="G1131">
        <v>1</v>
      </c>
      <c r="H1131" s="1">
        <v>1.1574074074074073E-3</v>
      </c>
      <c r="I1131">
        <v>2014</v>
      </c>
      <c r="J1131" t="s">
        <v>7</v>
      </c>
      <c r="K1131" s="2" t="str">
        <f>HYPERLINK("https://www.nba.com/stats/events?CFID=&amp;CFPARAMS=&amp;GameEventID=82&amp;GameID=0021400689&amp;Season=2014-15&amp;flag=1&amp;title=Mills%2026'%203PT%20Jump%20Shot%20(3%20PTS)%20(Leonard%202%20AST)", "Mills 26' 3PT Jump Shot (3 PTS) (Leonard 2 AST)")</f>
        <v>Mills 26' 3PT Jump Shot (3 PTS) (Leonard 2 AST)</v>
      </c>
      <c r="L1131" s="2" t="str">
        <f>HYPERLINK("https://www.nba.com/game/...-vs-...-0021400689/play-by-play?watchFullGame=true", "SAS vs CHA - Q1 01:40.00")</f>
        <v>SAS vs CHA - Q1 01:40.00</v>
      </c>
      <c r="M1131">
        <v>26</v>
      </c>
      <c r="N1131">
        <v>230</v>
      </c>
      <c r="O1131">
        <v>113</v>
      </c>
      <c r="P1131">
        <v>230</v>
      </c>
      <c r="Q1131">
        <v>113</v>
      </c>
      <c r="R1131" t="s">
        <v>0</v>
      </c>
      <c r="S1131" t="s">
        <v>0</v>
      </c>
      <c r="T1131" t="s">
        <v>0</v>
      </c>
    </row>
    <row r="1132" spans="1:20" x14ac:dyDescent="0.25">
      <c r="A1132">
        <v>21400802</v>
      </c>
      <c r="B1132" t="s">
        <v>4</v>
      </c>
      <c r="C1132" t="s">
        <v>5</v>
      </c>
      <c r="D1132">
        <v>15</v>
      </c>
      <c r="E1132">
        <v>14</v>
      </c>
      <c r="F1132">
        <v>1</v>
      </c>
      <c r="G1132">
        <v>1</v>
      </c>
      <c r="H1132" s="1">
        <v>3.7152777777777778E-3</v>
      </c>
      <c r="I1132">
        <v>2014</v>
      </c>
      <c r="J1132" t="s">
        <v>7</v>
      </c>
      <c r="K1132" s="2" t="str">
        <f>HYPERLINK("https://www.nba.com/stats/events?CFID=&amp;CFPARAMS=&amp;GameEventID=54&amp;GameID=0021400802&amp;Season=2014-15&amp;flag=1&amp;title=Baynes%203'%20Layup%20(4%20PTS)%20(Leonard%201%20AST)", "Baynes 3' Layup (4 PTS) (Leonard 1 AST)")</f>
        <v>Baynes 3' Layup (4 PTS) (Leonard 1 AST)</v>
      </c>
      <c r="L1132" s="2" t="str">
        <f>HYPERLINK("https://www.nba.com/game/...-vs-...-0021400802/play-by-play?watchFullGame=true", "SAS vs LAC - Q1 05:21.00")</f>
        <v>SAS vs LAC - Q1 05:21.00</v>
      </c>
      <c r="M1132">
        <v>3</v>
      </c>
      <c r="N1132">
        <v>2</v>
      </c>
      <c r="O1132">
        <v>25</v>
      </c>
      <c r="P1132">
        <v>2</v>
      </c>
      <c r="Q1132">
        <v>25</v>
      </c>
      <c r="R1132" t="s">
        <v>0</v>
      </c>
      <c r="S1132" t="s">
        <v>0</v>
      </c>
      <c r="T1132" t="s">
        <v>0</v>
      </c>
    </row>
    <row r="1133" spans="1:20" x14ac:dyDescent="0.25">
      <c r="A1133">
        <v>21400836</v>
      </c>
      <c r="B1133" t="s">
        <v>4</v>
      </c>
      <c r="C1133" t="s">
        <v>26</v>
      </c>
      <c r="D1133">
        <v>8</v>
      </c>
      <c r="E1133">
        <v>5</v>
      </c>
      <c r="F1133">
        <v>3</v>
      </c>
      <c r="G1133">
        <v>1</v>
      </c>
      <c r="H1133" s="1">
        <v>5.7407407407407407E-3</v>
      </c>
      <c r="I1133">
        <v>2014</v>
      </c>
      <c r="J1133" t="s">
        <v>7</v>
      </c>
      <c r="K1133" s="2" t="str">
        <f>HYPERLINK("https://www.nba.com/stats/events?CFID=&amp;CFPARAMS=&amp;GameEventID=29&amp;GameID=0021400836&amp;Season=2014-15&amp;flag=1&amp;title=Green%201'%20Reverse%20Layup%20(2%20PTS)%20(Leonard%201%20AST)", "Green 1' Reverse Layup (2 PTS) (Leonard 1 AST)")</f>
        <v>Green 1' Reverse Layup (2 PTS) (Leonard 1 AST)</v>
      </c>
      <c r="L1133" s="2" t="str">
        <f>HYPERLINK("https://www.nba.com/game/...-vs-...-0021400836/play-by-play?watchFullGame=true", "SAS vs UTA - Q1 08:16.00")</f>
        <v>SAS vs UTA - Q1 08:16.00</v>
      </c>
      <c r="M1133">
        <v>1</v>
      </c>
      <c r="N1133">
        <v>13</v>
      </c>
      <c r="O1133">
        <v>-6</v>
      </c>
      <c r="P1133">
        <v>13</v>
      </c>
      <c r="Q1133">
        <v>-6</v>
      </c>
      <c r="R1133" t="s">
        <v>0</v>
      </c>
      <c r="S1133" t="s">
        <v>0</v>
      </c>
      <c r="T1133" t="s">
        <v>0</v>
      </c>
    </row>
    <row r="1134" spans="1:20" x14ac:dyDescent="0.25">
      <c r="A1134">
        <v>21401020</v>
      </c>
      <c r="B1134" t="s">
        <v>4</v>
      </c>
      <c r="C1134" t="s">
        <v>38</v>
      </c>
      <c r="D1134">
        <v>104</v>
      </c>
      <c r="E1134">
        <v>111</v>
      </c>
      <c r="F1134">
        <v>7</v>
      </c>
      <c r="G1134">
        <v>4</v>
      </c>
      <c r="H1134" s="1">
        <v>6.9444444444444439E-6</v>
      </c>
      <c r="I1134">
        <v>2014</v>
      </c>
      <c r="J1134" t="s">
        <v>12</v>
      </c>
      <c r="K1134" s="2" t="str">
        <f>HYPERLINK("https://www.nba.com/stats/events?CFID=&amp;CFPARAMS=&amp;GameEventID=558&amp;GameID=0021401020&amp;Season=2014-15&amp;flag=1&amp;title=McCollum%20Dunk%20(15%20PTS)%20(Leonard%202%20AST)", "McCollum Dunk (15 PTS) (Leonard 2 AST)")</f>
        <v>McCollum Dunk (15 PTS) (Leonard 2 AST)</v>
      </c>
      <c r="L1134" s="2" t="str">
        <f>HYPERLINK("https://www.nba.com/game/...-vs-...-0021401020/play-by-play?watchFullGame=true", "POR vs ORL - Q4 00:00.60")</f>
        <v>POR vs ORL - Q4 00:00.60</v>
      </c>
      <c r="M1134">
        <v>0</v>
      </c>
      <c r="N1134">
        <v>0</v>
      </c>
      <c r="O1134">
        <v>1</v>
      </c>
      <c r="P1134">
        <v>0</v>
      </c>
      <c r="Q1134">
        <v>1</v>
      </c>
      <c r="R1134" t="s">
        <v>0</v>
      </c>
      <c r="S1134" t="s">
        <v>0</v>
      </c>
      <c r="T1134" t="s">
        <v>0</v>
      </c>
    </row>
    <row r="1135" spans="1:20" x14ac:dyDescent="0.25">
      <c r="A1135">
        <v>21300100</v>
      </c>
      <c r="B1135" t="s">
        <v>10</v>
      </c>
      <c r="C1135" t="s">
        <v>9</v>
      </c>
      <c r="D1135">
        <v>12</v>
      </c>
      <c r="E1135">
        <v>7</v>
      </c>
      <c r="F1135">
        <v>5</v>
      </c>
      <c r="G1135">
        <v>1</v>
      </c>
      <c r="H1135" s="1">
        <v>4.6759259259259263E-3</v>
      </c>
      <c r="I1135">
        <v>2013</v>
      </c>
      <c r="J1135" t="s">
        <v>7</v>
      </c>
      <c r="K1135" s="2" t="str">
        <f>HYPERLINK("https://www.nba.com/stats/events?CFID=&amp;CFPARAMS=&amp;GameEventID=38&amp;GameID=0021300100&amp;Season=2013-14&amp;flag=1&amp;title=Green%2025'%203PT%20Jump%20Shot%20(6%20PTS)%20(Leonard%201%20AST)", "Green 25' 3PT Jump Shot (6 PTS) (Leonard 1 AST)")</f>
        <v>Green 25' 3PT Jump Shot (6 PTS) (Leonard 1 AST)</v>
      </c>
      <c r="L1135" s="2" t="str">
        <f>HYPERLINK("https://www.nba.com/game/...-vs-...-0021300100/play-by-play?watchFullGame=true", "SAS vs PHI - Q1 06:44.00")</f>
        <v>SAS vs PHI - Q1 06:44.00</v>
      </c>
      <c r="M1135">
        <v>25</v>
      </c>
      <c r="N1135">
        <v>-127</v>
      </c>
      <c r="O1135">
        <v>213</v>
      </c>
      <c r="P1135">
        <v>-127</v>
      </c>
      <c r="Q1135">
        <v>213</v>
      </c>
      <c r="R1135" t="s">
        <v>0</v>
      </c>
      <c r="S1135" t="s">
        <v>0</v>
      </c>
      <c r="T1135" t="s">
        <v>0</v>
      </c>
    </row>
    <row r="1136" spans="1:20" x14ac:dyDescent="0.25">
      <c r="A1136">
        <v>21300181</v>
      </c>
      <c r="B1136" t="s">
        <v>4</v>
      </c>
      <c r="C1136" t="s">
        <v>17</v>
      </c>
      <c r="D1136">
        <v>42</v>
      </c>
      <c r="E1136">
        <v>33</v>
      </c>
      <c r="F1136">
        <v>9</v>
      </c>
      <c r="G1136">
        <v>2</v>
      </c>
      <c r="H1136" s="1">
        <v>2.9976851851851853E-3</v>
      </c>
      <c r="I1136">
        <v>2013</v>
      </c>
      <c r="J1136" t="s">
        <v>7</v>
      </c>
      <c r="K1136" s="2" t="str">
        <f>HYPERLINK("https://www.nba.com/stats/events?CFID=&amp;CFPARAMS=&amp;GameEventID=170&amp;GameID=0021300181&amp;Season=2013-14&amp;flag=1&amp;title=Parker%2010'%20Floating%20Jump%20Shot%20(9%20PTS)%20(Leonard%202%20AST)", "Parker 10' Floating Jump Shot (9 PTS) (Leonard 2 AST)")</f>
        <v>Parker 10' Floating Jump Shot (9 PTS) (Leonard 2 AST)</v>
      </c>
      <c r="L1136" s="2" t="str">
        <f>HYPERLINK("https://www.nba.com/game/...-vs-...-0021300181/play-by-play?watchFullGame=true", "SAS vs MEM - Q2 04:19.00")</f>
        <v>SAS vs MEM - Q2 04:19.00</v>
      </c>
      <c r="M1136">
        <v>10</v>
      </c>
      <c r="N1136">
        <v>32</v>
      </c>
      <c r="O1136">
        <v>96</v>
      </c>
      <c r="P1136">
        <v>32</v>
      </c>
      <c r="Q1136">
        <v>96</v>
      </c>
      <c r="R1136" t="s">
        <v>0</v>
      </c>
      <c r="S1136" t="s">
        <v>0</v>
      </c>
      <c r="T1136" t="s">
        <v>0</v>
      </c>
    </row>
    <row r="1137" spans="1:20" x14ac:dyDescent="0.25">
      <c r="A1137">
        <v>21300932</v>
      </c>
      <c r="B1137" t="s">
        <v>4</v>
      </c>
      <c r="C1137" t="s">
        <v>9</v>
      </c>
      <c r="D1137">
        <v>4</v>
      </c>
      <c r="E1137">
        <v>2</v>
      </c>
      <c r="F1137">
        <v>2</v>
      </c>
      <c r="G1137">
        <v>1</v>
      </c>
      <c r="H1137" s="1">
        <v>6.7824074074074071E-3</v>
      </c>
      <c r="I1137">
        <v>2013</v>
      </c>
      <c r="J1137" t="s">
        <v>7</v>
      </c>
      <c r="K1137" s="2" t="str">
        <f>HYPERLINK("https://www.nba.com/stats/events?CFID=&amp;CFPARAMS=&amp;GameEventID=20&amp;GameID=0021300932&amp;Season=2013-14&amp;flag=1&amp;title=Splitter%2018'%20Jump%20Shot%20(4%20PTS)%20(Leonard%201%20AST)", "Splitter 18' Jump Shot (4 PTS) (Leonard 1 AST)")</f>
        <v>Splitter 18' Jump Shot (4 PTS) (Leonard 1 AST)</v>
      </c>
      <c r="L1137" s="2" t="str">
        <f>HYPERLINK("https://www.nba.com/game/...-vs-...-0021300932/play-by-play?watchFullGame=true", "SAS vs ORL - Q1 09:46.00")</f>
        <v>SAS vs ORL - Q1 09:46.00</v>
      </c>
      <c r="M1137">
        <v>18</v>
      </c>
      <c r="N1137">
        <v>-43</v>
      </c>
      <c r="O1137">
        <v>173</v>
      </c>
      <c r="P1137">
        <v>-43</v>
      </c>
      <c r="Q1137">
        <v>173</v>
      </c>
      <c r="R1137" t="s">
        <v>0</v>
      </c>
      <c r="S1137" t="s">
        <v>0</v>
      </c>
      <c r="T1137" t="s">
        <v>0</v>
      </c>
    </row>
    <row r="1138" spans="1:20" x14ac:dyDescent="0.25">
      <c r="A1138">
        <v>21301054</v>
      </c>
      <c r="B1138" t="s">
        <v>4</v>
      </c>
      <c r="C1138" t="s">
        <v>5</v>
      </c>
      <c r="D1138">
        <v>43</v>
      </c>
      <c r="E1138">
        <v>24</v>
      </c>
      <c r="F1138">
        <v>19</v>
      </c>
      <c r="G1138">
        <v>2</v>
      </c>
      <c r="H1138" s="1">
        <v>5.3935185185185188E-3</v>
      </c>
      <c r="I1138">
        <v>2013</v>
      </c>
      <c r="J1138" t="s">
        <v>7</v>
      </c>
      <c r="K1138" s="2" t="str">
        <f>HYPERLINK("https://www.nba.com/stats/events?CFID=&amp;CFPARAMS=&amp;GameEventID=146&amp;GameID=0021301054&amp;Season=2013-14&amp;flag=1&amp;title=Joseph%202'%20Layup%20(2%20PTS)%20(Leonard%201%20AST)", "Joseph 2' Layup (2 PTS) (Leonard 1 AST)")</f>
        <v>Joseph 2' Layup (2 PTS) (Leonard 1 AST)</v>
      </c>
      <c r="L1138" s="2" t="str">
        <f>HYPERLINK("https://www.nba.com/game/...-vs-...-0021301054/play-by-play?watchFullGame=true", "SAS vs PHI - Q2 07:46.00")</f>
        <v>SAS vs PHI - Q2 07:46.00</v>
      </c>
      <c r="M1138">
        <v>2</v>
      </c>
      <c r="N1138">
        <v>-18</v>
      </c>
      <c r="O1138">
        <v>-8</v>
      </c>
      <c r="P1138">
        <v>-18</v>
      </c>
      <c r="Q1138">
        <v>-8</v>
      </c>
      <c r="R1138" t="s">
        <v>0</v>
      </c>
      <c r="S1138" t="s">
        <v>0</v>
      </c>
      <c r="T1138" t="s">
        <v>0</v>
      </c>
    </row>
    <row r="1139" spans="1:20" x14ac:dyDescent="0.25">
      <c r="A1139">
        <v>21301154</v>
      </c>
      <c r="B1139" t="s">
        <v>10</v>
      </c>
      <c r="C1139" t="s">
        <v>9</v>
      </c>
      <c r="D1139">
        <v>45</v>
      </c>
      <c r="E1139">
        <v>36</v>
      </c>
      <c r="F1139">
        <v>9</v>
      </c>
      <c r="G1139">
        <v>2</v>
      </c>
      <c r="H1139" s="1">
        <v>2.1527777777777778E-3</v>
      </c>
      <c r="I1139">
        <v>2013</v>
      </c>
      <c r="J1139" t="s">
        <v>7</v>
      </c>
      <c r="K1139" s="2" t="str">
        <f>HYPERLINK("https://www.nba.com/stats/events?CFID=&amp;CFPARAMS=&amp;GameEventID=215&amp;GameID=0021301154&amp;Season=2013-14&amp;flag=1&amp;title=Ginobili%2025'%203PT%20Jump%20Shot%20(11%20PTS)%20(Leonard%203%20AST)", "Ginobili 25' 3PT Jump Shot (11 PTS) (Leonard 3 AST)")</f>
        <v>Ginobili 25' 3PT Jump Shot (11 PTS) (Leonard 3 AST)</v>
      </c>
      <c r="L1139" s="2" t="str">
        <f>HYPERLINK("https://www.nba.com/game/...-vs-...-0021301154/play-by-play?watchFullGame=true", "SAS vs MEM - Q2 03:06.00")</f>
        <v>SAS vs MEM - Q2 03:06.00</v>
      </c>
      <c r="M1139">
        <v>25</v>
      </c>
      <c r="N1139">
        <v>-43</v>
      </c>
      <c r="O1139">
        <v>244</v>
      </c>
      <c r="P1139">
        <v>-43</v>
      </c>
      <c r="Q1139">
        <v>244</v>
      </c>
      <c r="R1139" t="s">
        <v>0</v>
      </c>
      <c r="S1139" t="s">
        <v>0</v>
      </c>
      <c r="T1139" t="s">
        <v>0</v>
      </c>
    </row>
    <row r="1140" spans="1:20" x14ac:dyDescent="0.25">
      <c r="A1140">
        <v>21400139</v>
      </c>
      <c r="B1140" t="s">
        <v>4</v>
      </c>
      <c r="C1140" t="s">
        <v>5</v>
      </c>
      <c r="D1140">
        <v>34</v>
      </c>
      <c r="E1140">
        <v>27</v>
      </c>
      <c r="F1140">
        <v>7</v>
      </c>
      <c r="G1140">
        <v>2</v>
      </c>
      <c r="H1140" s="1">
        <v>5.7523148148148151E-3</v>
      </c>
      <c r="I1140">
        <v>2014</v>
      </c>
      <c r="J1140" t="s">
        <v>7</v>
      </c>
      <c r="K1140" s="2" t="str">
        <f>HYPERLINK("https://www.nba.com/stats/events?CFID=&amp;CFPARAMS=&amp;GameEventID=148&amp;GameID=0021400139&amp;Season=2014-15&amp;flag=1&amp;title=Green%202'%20Layup%20(7%20PTS)%20(Leonard%202%20AST)", "Green 2' Layup (7 PTS) (Leonard 2 AST)")</f>
        <v>Green 2' Layup (7 PTS) (Leonard 2 AST)</v>
      </c>
      <c r="L1140" s="2" t="str">
        <f>HYPERLINK("https://www.nba.com/game/...-vs-...-0021400139/play-by-play?watchFullGame=true", "SAS vs SAC - Q2 08:17.00")</f>
        <v>SAS vs SAC - Q2 08:17.00</v>
      </c>
      <c r="M1140">
        <v>2</v>
      </c>
      <c r="N1140">
        <v>0</v>
      </c>
      <c r="O1140">
        <v>15</v>
      </c>
      <c r="P1140">
        <v>0</v>
      </c>
      <c r="Q1140">
        <v>15</v>
      </c>
      <c r="R1140" t="s">
        <v>0</v>
      </c>
      <c r="S1140" t="s">
        <v>0</v>
      </c>
      <c r="T1140" t="s">
        <v>0</v>
      </c>
    </row>
    <row r="1141" spans="1:20" x14ac:dyDescent="0.25">
      <c r="A1141">
        <v>21400249</v>
      </c>
      <c r="B1141" t="s">
        <v>10</v>
      </c>
      <c r="C1141" t="s">
        <v>9</v>
      </c>
      <c r="D1141">
        <v>49</v>
      </c>
      <c r="E1141">
        <v>33</v>
      </c>
      <c r="F1141">
        <v>16</v>
      </c>
      <c r="G1141">
        <v>2</v>
      </c>
      <c r="H1141" s="1">
        <v>3.8310185185185183E-3</v>
      </c>
      <c r="I1141">
        <v>2014</v>
      </c>
      <c r="J1141" t="s">
        <v>7</v>
      </c>
      <c r="K1141" s="2" t="str">
        <f>HYPERLINK("https://www.nba.com/stats/events?CFID=&amp;CFPARAMS=&amp;GameEventID=210&amp;GameID=0021400249&amp;Season=2014-15&amp;flag=1&amp;title=Daye%2024'%203PT%20Jump%20Shot%20(3%20PTS)%20(Leonard%204%20AST)", "Daye 24' 3PT Jump Shot (3 PTS) (Leonard 4 AST)")</f>
        <v>Daye 24' 3PT Jump Shot (3 PTS) (Leonard 4 AST)</v>
      </c>
      <c r="L1141" s="2" t="str">
        <f>HYPERLINK("https://www.nba.com/game/...-vs-...-0021400249/play-by-play?watchFullGame=true", "SAS vs PHI - Q2 05:31.00")</f>
        <v>SAS vs PHI - Q2 05:31.00</v>
      </c>
      <c r="M1141">
        <v>24</v>
      </c>
      <c r="N1141">
        <v>242</v>
      </c>
      <c r="O1141">
        <v>4</v>
      </c>
      <c r="P1141">
        <v>242</v>
      </c>
      <c r="Q1141">
        <v>4</v>
      </c>
      <c r="R1141" t="s">
        <v>0</v>
      </c>
      <c r="S1141" t="s">
        <v>0</v>
      </c>
      <c r="T1141" t="s">
        <v>0</v>
      </c>
    </row>
    <row r="1142" spans="1:20" x14ac:dyDescent="0.25">
      <c r="A1142">
        <v>21400282</v>
      </c>
      <c r="B1142" t="s">
        <v>10</v>
      </c>
      <c r="C1142" t="s">
        <v>9</v>
      </c>
      <c r="D1142">
        <v>61</v>
      </c>
      <c r="E1142">
        <v>46</v>
      </c>
      <c r="F1142">
        <v>15</v>
      </c>
      <c r="G1142">
        <v>3</v>
      </c>
      <c r="H1142" s="1">
        <v>8.1250000000000003E-3</v>
      </c>
      <c r="I1142">
        <v>2014</v>
      </c>
      <c r="J1142" t="s">
        <v>7</v>
      </c>
      <c r="K1142" s="2" t="str">
        <f>HYPERLINK("https://www.nba.com/stats/events?CFID=&amp;CFPARAMS=&amp;GameEventID=247&amp;GameID=0021400282&amp;Season=2014-15&amp;flag=1&amp;title=Bonner%2026'%203PT%20Jump%20Shot%20(9%20PTS)%20(Leonard%203%20AST)", "Bonner 26' 3PT Jump Shot (9 PTS) (Leonard 3 AST)")</f>
        <v>Bonner 26' 3PT Jump Shot (9 PTS) (Leonard 3 AST)</v>
      </c>
      <c r="L1142" s="2" t="str">
        <f>HYPERLINK("https://www.nba.com/game/...-vs-...-0021400282/play-by-play?watchFullGame=true", "SAS vs MEM - Q3 11:42.00")</f>
        <v>SAS vs MEM - Q3 11:42.00</v>
      </c>
      <c r="M1142">
        <v>26</v>
      </c>
      <c r="N1142">
        <v>94</v>
      </c>
      <c r="O1142">
        <v>244</v>
      </c>
      <c r="P1142">
        <v>94</v>
      </c>
      <c r="Q1142">
        <v>244</v>
      </c>
      <c r="R1142" t="s">
        <v>0</v>
      </c>
      <c r="S1142" t="s">
        <v>0</v>
      </c>
      <c r="T1142" t="s">
        <v>0</v>
      </c>
    </row>
    <row r="1143" spans="1:20" x14ac:dyDescent="0.25">
      <c r="A1143">
        <v>21300414</v>
      </c>
      <c r="B1143" t="s">
        <v>10</v>
      </c>
      <c r="C1143" t="s">
        <v>9</v>
      </c>
      <c r="D1143">
        <v>40</v>
      </c>
      <c r="E1143">
        <v>33</v>
      </c>
      <c r="F1143">
        <v>7</v>
      </c>
      <c r="G1143">
        <v>2</v>
      </c>
      <c r="H1143" s="1">
        <v>5.3009259259259259E-3</v>
      </c>
      <c r="I1143">
        <v>2013</v>
      </c>
      <c r="J1143" t="s">
        <v>7</v>
      </c>
      <c r="K1143" s="2" t="str">
        <f>HYPERLINK("https://www.nba.com/stats/events?CFID=&amp;CFPARAMS=&amp;GameEventID=183&amp;GameID=0021300414&amp;Season=2013-14&amp;flag=1&amp;title=Mills%2025'%203PT%20Jump%20Shot%20(7%20PTS)%20(Leonard%201%20AST)", "Mills 25' 3PT Jump Shot (7 PTS) (Leonard 1 AST)")</f>
        <v>Mills 25' 3PT Jump Shot (7 PTS) (Leonard 1 AST)</v>
      </c>
      <c r="L1143" s="2" t="str">
        <f>HYPERLINK("https://www.nba.com/game/...-vs-...-0021300414/play-by-play?watchFullGame=true", "SAS vs TOR - Q2 07:38.00")</f>
        <v>SAS vs TOR - Q2 07:38.00</v>
      </c>
      <c r="M1143">
        <v>25</v>
      </c>
      <c r="N1143">
        <v>154</v>
      </c>
      <c r="O1143">
        <v>200</v>
      </c>
      <c r="P1143">
        <v>154</v>
      </c>
      <c r="Q1143">
        <v>200</v>
      </c>
      <c r="R1143" t="s">
        <v>0</v>
      </c>
      <c r="S1143" t="s">
        <v>0</v>
      </c>
      <c r="T1143" t="s">
        <v>0</v>
      </c>
    </row>
    <row r="1144" spans="1:20" x14ac:dyDescent="0.25">
      <c r="A1144">
        <v>21300672</v>
      </c>
      <c r="B1144" t="s">
        <v>10</v>
      </c>
      <c r="C1144" t="s">
        <v>9</v>
      </c>
      <c r="D1144">
        <v>61</v>
      </c>
      <c r="E1144">
        <v>81</v>
      </c>
      <c r="F1144">
        <v>20</v>
      </c>
      <c r="G1144">
        <v>4</v>
      </c>
      <c r="H1144" s="1">
        <v>7.951388888888888E-3</v>
      </c>
      <c r="I1144">
        <v>2013</v>
      </c>
      <c r="J1144" t="s">
        <v>12</v>
      </c>
      <c r="K1144" s="2" t="str">
        <f>HYPERLINK("https://www.nba.com/stats/events?CFID=&amp;CFPARAMS=&amp;GameEventID=351&amp;GameID=0021300672&amp;Season=2013-14&amp;flag=1&amp;title=Lillard%2025'%203PT%20Jump%20Shot%20(9%20PTS)%20(Leonard%201%20AST)", "Lillard 25' 3PT Jump Shot (9 PTS) (Leonard 1 AST)")</f>
        <v>Lillard 25' 3PT Jump Shot (9 PTS) (Leonard 1 AST)</v>
      </c>
      <c r="L1144" s="2" t="str">
        <f>HYPERLINK("https://www.nba.com/game/...-vs-...-0021300672/play-by-play?watchFullGame=true", "POR vs MEM - Q4 11:27.00")</f>
        <v>POR vs MEM - Q4 11:27.00</v>
      </c>
      <c r="M1144">
        <v>25</v>
      </c>
      <c r="N1144">
        <v>155</v>
      </c>
      <c r="O1144">
        <v>200</v>
      </c>
      <c r="P1144">
        <v>155</v>
      </c>
      <c r="Q1144">
        <v>200</v>
      </c>
      <c r="R1144" t="s">
        <v>0</v>
      </c>
      <c r="S1144" t="s">
        <v>0</v>
      </c>
      <c r="T1144" t="s">
        <v>0</v>
      </c>
    </row>
    <row r="1145" spans="1:20" x14ac:dyDescent="0.25">
      <c r="A1145">
        <v>21300888</v>
      </c>
      <c r="B1145" t="s">
        <v>4</v>
      </c>
      <c r="C1145" t="s">
        <v>9</v>
      </c>
      <c r="D1145">
        <v>52</v>
      </c>
      <c r="E1145">
        <v>49</v>
      </c>
      <c r="F1145">
        <v>3</v>
      </c>
      <c r="G1145">
        <v>3</v>
      </c>
      <c r="H1145" s="1">
        <v>7.6388888888888886E-3</v>
      </c>
      <c r="I1145">
        <v>2013</v>
      </c>
      <c r="J1145" t="s">
        <v>7</v>
      </c>
      <c r="K1145" s="2" t="str">
        <f>HYPERLINK("https://www.nba.com/stats/events?CFID=&amp;CFPARAMS=&amp;GameEventID=251&amp;GameID=0021300888&amp;Season=2013-14&amp;flag=1&amp;title=Parker%2012'%20Jump%20Shot%20(16%20PTS)%20(Leonard%201%20AST)", "Parker 12' Jump Shot (16 PTS) (Leonard 1 AST)")</f>
        <v>Parker 12' Jump Shot (16 PTS) (Leonard 1 AST)</v>
      </c>
      <c r="L1145" s="2" t="str">
        <f>HYPERLINK("https://www.nba.com/game/...-vs-...-0021300888/play-by-play?watchFullGame=true", "SAS vs DAL - Q3 11:00.00")</f>
        <v>SAS vs DAL - Q3 11:00.00</v>
      </c>
      <c r="M1145">
        <v>12</v>
      </c>
      <c r="N1145">
        <v>-116</v>
      </c>
      <c r="O1145">
        <v>20</v>
      </c>
      <c r="P1145">
        <v>-116</v>
      </c>
      <c r="Q1145">
        <v>20</v>
      </c>
      <c r="R1145" t="s">
        <v>0</v>
      </c>
      <c r="S1145" t="s">
        <v>0</v>
      </c>
      <c r="T1145" t="s">
        <v>0</v>
      </c>
    </row>
    <row r="1146" spans="1:20" x14ac:dyDescent="0.25">
      <c r="A1146">
        <v>21300965</v>
      </c>
      <c r="B1146" t="s">
        <v>10</v>
      </c>
      <c r="C1146" t="s">
        <v>9</v>
      </c>
      <c r="D1146">
        <v>61</v>
      </c>
      <c r="E1146">
        <v>48</v>
      </c>
      <c r="F1146">
        <v>13</v>
      </c>
      <c r="G1146">
        <v>3</v>
      </c>
      <c r="H1146" s="1">
        <v>6.0185185185185185E-3</v>
      </c>
      <c r="I1146">
        <v>2013</v>
      </c>
      <c r="J1146" t="s">
        <v>7</v>
      </c>
      <c r="K1146" s="2" t="str">
        <f>HYPERLINK("https://www.nba.com/stats/events?CFID=&amp;CFPARAMS=&amp;GameEventID=305&amp;GameID=0021300965&amp;Season=2013-14&amp;flag=1&amp;title=Green%20%203PT%20Jump%20Shot%20(14%20PTS)%20(Leonard%201%20AST)", "Green  3PT Jump Shot (14 PTS) (Leonard 1 AST)")</f>
        <v>Green  3PT Jump Shot (14 PTS) (Leonard 1 AST)</v>
      </c>
      <c r="L1146" s="2" t="str">
        <f>HYPERLINK("https://www.nba.com/game/...-vs-...-0021300965/play-by-play?watchFullGame=true", "SAS vs POR - Q3 08:40.00")</f>
        <v>SAS vs POR - Q3 08:40.00</v>
      </c>
      <c r="M1146">
        <v>0</v>
      </c>
      <c r="N1146">
        <v>-226</v>
      </c>
      <c r="O1146">
        <v>4</v>
      </c>
      <c r="P1146">
        <v>-226</v>
      </c>
      <c r="Q1146">
        <v>4</v>
      </c>
      <c r="R1146" t="s">
        <v>0</v>
      </c>
      <c r="S1146" t="s">
        <v>0</v>
      </c>
      <c r="T1146" t="s">
        <v>0</v>
      </c>
    </row>
    <row r="1147" spans="1:20" x14ac:dyDescent="0.25">
      <c r="A1147">
        <v>21301068</v>
      </c>
      <c r="B1147" t="s">
        <v>4</v>
      </c>
      <c r="C1147" t="s">
        <v>26</v>
      </c>
      <c r="D1147">
        <v>56</v>
      </c>
      <c r="E1147">
        <v>40</v>
      </c>
      <c r="F1147">
        <v>16</v>
      </c>
      <c r="G1147">
        <v>2</v>
      </c>
      <c r="H1147" s="1">
        <v>2.3263888888888887E-3</v>
      </c>
      <c r="I1147">
        <v>2013</v>
      </c>
      <c r="J1147" t="s">
        <v>7</v>
      </c>
      <c r="K1147" s="2" t="str">
        <f>HYPERLINK("https://www.nba.com/stats/events?CFID=&amp;CFPARAMS=&amp;GameEventID=210&amp;GameID=0021301068&amp;Season=2013-14&amp;flag=1&amp;title=Splitter%20%20Reverse%20Layup%20(4%20PTS)%20(Leonard%201%20AST)", "Splitter  Reverse Layup (4 PTS) (Leonard 1 AST)")</f>
        <v>Splitter  Reverse Layup (4 PTS) (Leonard 1 AST)</v>
      </c>
      <c r="L1147" s="2" t="str">
        <f>HYPERLINK("https://www.nba.com/game/...-vs-...-0021301068/play-by-play?watchFullGame=true", "SAS vs DEN - Q2 03:21.00")</f>
        <v>SAS vs DEN - Q2 03:21.00</v>
      </c>
      <c r="M1147">
        <v>0</v>
      </c>
      <c r="N1147">
        <v>1</v>
      </c>
      <c r="O1147">
        <v>0</v>
      </c>
      <c r="P1147">
        <v>1</v>
      </c>
      <c r="Q1147">
        <v>0</v>
      </c>
      <c r="R1147" t="s">
        <v>0</v>
      </c>
      <c r="S1147" t="s">
        <v>0</v>
      </c>
      <c r="T1147" t="s">
        <v>0</v>
      </c>
    </row>
    <row r="1148" spans="1:20" x14ac:dyDescent="0.25">
      <c r="A1148">
        <v>21400069</v>
      </c>
      <c r="B1148" t="s">
        <v>4</v>
      </c>
      <c r="C1148" t="s">
        <v>19</v>
      </c>
      <c r="D1148">
        <v>8</v>
      </c>
      <c r="E1148">
        <v>13</v>
      </c>
      <c r="F1148">
        <v>5</v>
      </c>
      <c r="G1148">
        <v>1</v>
      </c>
      <c r="H1148" s="1">
        <v>2.0138888888888888E-3</v>
      </c>
      <c r="I1148">
        <v>2014</v>
      </c>
      <c r="J1148" t="s">
        <v>7</v>
      </c>
      <c r="K1148" s="2" t="str">
        <f>HYPERLINK("https://www.nba.com/stats/events?CFID=&amp;CFPARAMS=&amp;GameEventID=93&amp;GameID=0021400069&amp;Season=2014-15&amp;flag=1&amp;title=Joseph%2016'%20Pullup%20Jump%20Shot%20(2%20PTS)%20(Leonard%202%20AST)", "Joseph 16' Pullup Jump Shot (2 PTS) (Leonard 2 AST)")</f>
        <v>Joseph 16' Pullup Jump Shot (2 PTS) (Leonard 2 AST)</v>
      </c>
      <c r="L1148" s="2" t="str">
        <f>HYPERLINK("https://www.nba.com/game/...-vs-...-0021400069/play-by-play?watchFullGame=true", "SAS vs HOU - Q1 02:54.00")</f>
        <v>SAS vs HOU - Q1 02:54.00</v>
      </c>
      <c r="M1148">
        <v>16</v>
      </c>
      <c r="N1148">
        <v>152</v>
      </c>
      <c r="O1148">
        <v>31</v>
      </c>
      <c r="P1148">
        <v>152</v>
      </c>
      <c r="Q1148">
        <v>31</v>
      </c>
      <c r="R1148" t="s">
        <v>0</v>
      </c>
      <c r="S1148" t="s">
        <v>0</v>
      </c>
      <c r="T1148" t="s">
        <v>0</v>
      </c>
    </row>
    <row r="1149" spans="1:20" x14ac:dyDescent="0.25">
      <c r="A1149">
        <v>21400191</v>
      </c>
      <c r="B1149" t="s">
        <v>10</v>
      </c>
      <c r="C1149" t="s">
        <v>9</v>
      </c>
      <c r="D1149">
        <v>88</v>
      </c>
      <c r="E1149">
        <v>77</v>
      </c>
      <c r="F1149">
        <v>11</v>
      </c>
      <c r="G1149">
        <v>4</v>
      </c>
      <c r="H1149" s="1">
        <v>3.8078703703703703E-3</v>
      </c>
      <c r="I1149">
        <v>2014</v>
      </c>
      <c r="J1149" t="s">
        <v>7</v>
      </c>
      <c r="K1149" s="2" t="str">
        <f>HYPERLINK("https://www.nba.com/stats/events?CFID=&amp;CFPARAMS=&amp;GameEventID=407&amp;GameID=0021400191&amp;Season=2014-15&amp;flag=1&amp;title=Green%2024'%203PT%20Jump%20Shot%20(17%20PTS)%20(Leonard%201%20AST)", "Green 24' 3PT Jump Shot (17 PTS) (Leonard 1 AST)")</f>
        <v>Green 24' 3PT Jump Shot (17 PTS) (Leonard 1 AST)</v>
      </c>
      <c r="L1149" s="2" t="str">
        <f>HYPERLINK("https://www.nba.com/game/...-vs-...-0021400191/play-by-play?watchFullGame=true", "SAS vs BKN - Q4 05:29.00")</f>
        <v>SAS vs BKN - Q4 05:29.00</v>
      </c>
      <c r="M1149">
        <v>24</v>
      </c>
      <c r="N1149">
        <v>-210</v>
      </c>
      <c r="O1149">
        <v>113</v>
      </c>
      <c r="P1149">
        <v>-210</v>
      </c>
      <c r="Q1149">
        <v>113</v>
      </c>
      <c r="R1149" t="s">
        <v>0</v>
      </c>
      <c r="S1149" t="s">
        <v>0</v>
      </c>
      <c r="T1149" t="s">
        <v>0</v>
      </c>
    </row>
    <row r="1150" spans="1:20" x14ac:dyDescent="0.25">
      <c r="A1150">
        <v>21400220</v>
      </c>
      <c r="B1150" t="s">
        <v>4</v>
      </c>
      <c r="C1150" t="s">
        <v>19</v>
      </c>
      <c r="D1150">
        <v>6</v>
      </c>
      <c r="E1150">
        <v>2</v>
      </c>
      <c r="F1150">
        <v>4</v>
      </c>
      <c r="G1150">
        <v>1</v>
      </c>
      <c r="H1150" s="1">
        <v>7.0949074074074074E-3</v>
      </c>
      <c r="I1150">
        <v>2014</v>
      </c>
      <c r="J1150" t="s">
        <v>7</v>
      </c>
      <c r="K1150" s="2" t="str">
        <f>HYPERLINK("https://www.nba.com/stats/events?CFID=&amp;CFPARAMS=&amp;GameEventID=16&amp;GameID=0021400220&amp;Season=2014-15&amp;flag=1&amp;title=Green%2019'%20Pullup%20Jump%20Shot%20(2%20PTS)%20(Leonard%201%20AST)", "Green 19' Pullup Jump Shot (2 PTS) (Leonard 1 AST)")</f>
        <v>Green 19' Pullup Jump Shot (2 PTS) (Leonard 1 AST)</v>
      </c>
      <c r="L1150" s="2" t="str">
        <f>HYPERLINK("https://www.nba.com/game/...-vs-...-0021400220/play-by-play?watchFullGame=true", "SAS vs IND - Q1 10:13.00")</f>
        <v>SAS vs IND - Q1 10:13.00</v>
      </c>
      <c r="M1150">
        <v>19</v>
      </c>
      <c r="N1150">
        <v>165</v>
      </c>
      <c r="O1150">
        <v>97</v>
      </c>
      <c r="P1150">
        <v>165</v>
      </c>
      <c r="Q1150">
        <v>97</v>
      </c>
      <c r="R1150" t="s">
        <v>0</v>
      </c>
      <c r="S1150" t="s">
        <v>0</v>
      </c>
      <c r="T1150" t="s">
        <v>0</v>
      </c>
    </row>
    <row r="1151" spans="1:20" x14ac:dyDescent="0.25">
      <c r="A1151">
        <v>21300312</v>
      </c>
      <c r="B1151" t="s">
        <v>10</v>
      </c>
      <c r="C1151" t="s">
        <v>9</v>
      </c>
      <c r="D1151">
        <v>51</v>
      </c>
      <c r="E1151">
        <v>49</v>
      </c>
      <c r="F1151">
        <v>2</v>
      </c>
      <c r="G1151">
        <v>2</v>
      </c>
      <c r="H1151" s="1">
        <v>1.5509259259259259E-3</v>
      </c>
      <c r="I1151">
        <v>2013</v>
      </c>
      <c r="J1151" t="s">
        <v>7</v>
      </c>
      <c r="K1151" s="2" t="str">
        <f>HYPERLINK("https://www.nba.com/stats/events?CFID=&amp;CFPARAMS=&amp;GameEventID=227&amp;GameID=0021300312&amp;Season=2013-14&amp;flag=1&amp;title=Ginobili%20%203PT%20Jump%20Shot%20(11%20PTS)%20(Leonard%202%20AST)", "Ginobili  3PT Jump Shot (11 PTS) (Leonard 2 AST)")</f>
        <v>Ginobili  3PT Jump Shot (11 PTS) (Leonard 2 AST)</v>
      </c>
      <c r="L1151" s="2" t="str">
        <f>HYPERLINK("https://www.nba.com/game/...-vs-...-0021300312/play-by-play?watchFullGame=true", "SAS vs TOR - Q2 02:14.00")</f>
        <v>SAS vs TOR - Q2 02:14.00</v>
      </c>
      <c r="M1151">
        <v>0</v>
      </c>
      <c r="N1151">
        <v>-232</v>
      </c>
      <c r="O1151">
        <v>15</v>
      </c>
      <c r="P1151">
        <v>-232</v>
      </c>
      <c r="Q1151">
        <v>15</v>
      </c>
      <c r="R1151" t="s">
        <v>0</v>
      </c>
      <c r="S1151" t="s">
        <v>0</v>
      </c>
      <c r="T1151" t="s">
        <v>0</v>
      </c>
    </row>
    <row r="1152" spans="1:20" x14ac:dyDescent="0.25">
      <c r="A1152">
        <v>21300913</v>
      </c>
      <c r="B1152" t="s">
        <v>4</v>
      </c>
      <c r="C1152" t="s">
        <v>5</v>
      </c>
      <c r="D1152">
        <v>35</v>
      </c>
      <c r="E1152">
        <v>27</v>
      </c>
      <c r="F1152">
        <v>8</v>
      </c>
      <c r="G1152">
        <v>2</v>
      </c>
      <c r="H1152" s="1">
        <v>5.1273148148148146E-3</v>
      </c>
      <c r="I1152">
        <v>2013</v>
      </c>
      <c r="J1152" t="s">
        <v>12</v>
      </c>
      <c r="K1152" s="2" t="str">
        <f>HYPERLINK("https://www.nba.com/stats/events?CFID=&amp;CFPARAMS=&amp;GameEventID=192&amp;GameID=0021300913&amp;Season=2013-14&amp;flag=1&amp;title=McCollum%202'%20Layup%20(2%20PTS)%20(Leonard%202%20AST)", "McCollum 2' Layup (2 PTS) (Leonard 2 AST)")</f>
        <v>McCollum 2' Layup (2 PTS) (Leonard 2 AST)</v>
      </c>
      <c r="L1152" s="2" t="str">
        <f>HYPERLINK("https://www.nba.com/game/...-vs-...-0021300913/play-by-play?watchFullGame=true", "POR vs ATL - Q2 07:23.00")</f>
        <v>POR vs ATL - Q2 07:23.00</v>
      </c>
      <c r="M1152">
        <v>2</v>
      </c>
      <c r="N1152">
        <v>17</v>
      </c>
      <c r="O1152">
        <v>-2</v>
      </c>
      <c r="P1152">
        <v>17</v>
      </c>
      <c r="Q1152">
        <v>-2</v>
      </c>
      <c r="R1152" t="s">
        <v>0</v>
      </c>
      <c r="S1152" t="s">
        <v>0</v>
      </c>
      <c r="T1152" t="s">
        <v>0</v>
      </c>
    </row>
    <row r="1153" spans="1:20" x14ac:dyDescent="0.25">
      <c r="A1153">
        <v>21301017</v>
      </c>
      <c r="B1153" t="s">
        <v>4</v>
      </c>
      <c r="C1153" t="s">
        <v>9</v>
      </c>
      <c r="D1153">
        <v>62</v>
      </c>
      <c r="E1153">
        <v>59</v>
      </c>
      <c r="F1153">
        <v>3</v>
      </c>
      <c r="G1153">
        <v>3</v>
      </c>
      <c r="H1153" s="1">
        <v>6.7361111111111111E-3</v>
      </c>
      <c r="I1153">
        <v>2013</v>
      </c>
      <c r="J1153" t="s">
        <v>7</v>
      </c>
      <c r="K1153" s="2" t="str">
        <f>HYPERLINK("https://www.nba.com/stats/events?CFID=&amp;CFPARAMS=&amp;GameEventID=264&amp;GameID=0021301017&amp;Season=2013-14&amp;flag=1&amp;title=Parker%2020'%20Jump%20Shot%20(17%20PTS)%20(Leonard%202%20AST)", "Parker 20' Jump Shot (17 PTS) (Leonard 2 AST)")</f>
        <v>Parker 20' Jump Shot (17 PTS) (Leonard 2 AST)</v>
      </c>
      <c r="L1153" s="2" t="str">
        <f>HYPERLINK("https://www.nba.com/game/...-vs-...-0021301017/play-by-play?watchFullGame=true", "SAS vs LAL - Q3 09:42.00")</f>
        <v>SAS vs LAL - Q3 09:42.00</v>
      </c>
      <c r="M1153">
        <v>20</v>
      </c>
      <c r="N1153">
        <v>15</v>
      </c>
      <c r="O1153">
        <v>195</v>
      </c>
      <c r="P1153">
        <v>15</v>
      </c>
      <c r="Q1153">
        <v>195</v>
      </c>
      <c r="R1153" t="s">
        <v>0</v>
      </c>
      <c r="S1153" t="s">
        <v>0</v>
      </c>
      <c r="T1153" t="s">
        <v>0</v>
      </c>
    </row>
    <row r="1154" spans="1:20" x14ac:dyDescent="0.25">
      <c r="A1154">
        <v>21301123</v>
      </c>
      <c r="B1154" t="s">
        <v>4</v>
      </c>
      <c r="C1154" t="s">
        <v>5</v>
      </c>
      <c r="D1154">
        <v>14</v>
      </c>
      <c r="E1154">
        <v>6</v>
      </c>
      <c r="F1154">
        <v>8</v>
      </c>
      <c r="G1154">
        <v>1</v>
      </c>
      <c r="H1154" s="1">
        <v>4.7106481481481478E-3</v>
      </c>
      <c r="I1154">
        <v>2013</v>
      </c>
      <c r="J1154" t="s">
        <v>7</v>
      </c>
      <c r="K1154" s="2" t="str">
        <f>HYPERLINK("https://www.nba.com/stats/events?CFID=&amp;CFPARAMS=&amp;GameEventID=49&amp;GameID=0021301123&amp;Season=2013-14&amp;flag=1&amp;title=Parker%201'%20Layup%20(6%20PTS)%20(Leonard%201%20AST)", "Parker 1' Layup (6 PTS) (Leonard 1 AST)")</f>
        <v>Parker 1' Layup (6 PTS) (Leonard 1 AST)</v>
      </c>
      <c r="L1154" s="2" t="str">
        <f>HYPERLINK("https://www.nba.com/game/...-vs-...-0021301123/play-by-play?watchFullGame=true", "SAS vs GSW - Q1 06:47.00")</f>
        <v>SAS vs GSW - Q1 06:47.00</v>
      </c>
      <c r="M1154">
        <v>1</v>
      </c>
      <c r="N1154">
        <v>-4</v>
      </c>
      <c r="O1154">
        <v>3</v>
      </c>
      <c r="P1154">
        <v>-4</v>
      </c>
      <c r="Q1154">
        <v>3</v>
      </c>
      <c r="R1154" t="s">
        <v>0</v>
      </c>
      <c r="S1154" t="s">
        <v>0</v>
      </c>
      <c r="T1154" t="s">
        <v>0</v>
      </c>
    </row>
    <row r="1155" spans="1:20" x14ac:dyDescent="0.25">
      <c r="A1155">
        <v>21400231</v>
      </c>
      <c r="B1155" t="s">
        <v>4</v>
      </c>
      <c r="C1155" t="s">
        <v>9</v>
      </c>
      <c r="D1155">
        <v>104</v>
      </c>
      <c r="E1155">
        <v>94</v>
      </c>
      <c r="F1155">
        <v>10</v>
      </c>
      <c r="G1155">
        <v>4</v>
      </c>
      <c r="H1155" s="1">
        <v>2.7546296296296294E-3</v>
      </c>
      <c r="I1155">
        <v>2014</v>
      </c>
      <c r="J1155" t="s">
        <v>7</v>
      </c>
      <c r="K1155" s="2" t="str">
        <f>HYPERLINK("https://www.nba.com/stats/events?CFID=&amp;CFPARAMS=&amp;GameEventID=452&amp;GameID=0021400231&amp;Season=2014-15&amp;flag=1&amp;title=Parker%203'%20Jump%20Shot%20(27%20PTS)%20(Leonard%202%20AST)", "Parker 3' Jump Shot (27 PTS) (Leonard 2 AST)")</f>
        <v>Parker 3' Jump Shot (27 PTS) (Leonard 2 AST)</v>
      </c>
      <c r="L1155" s="2" t="str">
        <f>HYPERLINK("https://www.nba.com/game/...-vs-...-0021400231/play-by-play?watchFullGame=true", "SAS vs SAC - Q4 03:58.00")</f>
        <v>SAS vs SAC - Q4 03:58.00</v>
      </c>
      <c r="M1155">
        <v>3</v>
      </c>
      <c r="N1155">
        <v>-16</v>
      </c>
      <c r="O1155">
        <v>26</v>
      </c>
      <c r="P1155">
        <v>-16</v>
      </c>
      <c r="Q1155">
        <v>26</v>
      </c>
      <c r="R1155" t="s">
        <v>0</v>
      </c>
      <c r="S1155" t="s">
        <v>0</v>
      </c>
      <c r="T1155" t="s">
        <v>0</v>
      </c>
    </row>
    <row r="1156" spans="1:20" x14ac:dyDescent="0.25">
      <c r="A1156">
        <v>21400249</v>
      </c>
      <c r="B1156" t="s">
        <v>4</v>
      </c>
      <c r="C1156" t="s">
        <v>26</v>
      </c>
      <c r="D1156">
        <v>40</v>
      </c>
      <c r="E1156">
        <v>25</v>
      </c>
      <c r="F1156">
        <v>15</v>
      </c>
      <c r="G1156">
        <v>2</v>
      </c>
      <c r="H1156" s="1">
        <v>6.030092592592593E-3</v>
      </c>
      <c r="I1156">
        <v>2014</v>
      </c>
      <c r="J1156" t="s">
        <v>7</v>
      </c>
      <c r="K1156" s="2" t="str">
        <f>HYPERLINK("https://www.nba.com/stats/events?CFID=&amp;CFPARAMS=&amp;GameEventID=175&amp;GameID=0021400249&amp;Season=2014-15&amp;flag=1&amp;title=Baynes%202'%20Reverse%20Layup%20(8%20PTS)%20(Leonard%201%20AST)", "Baynes 2' Reverse Layup (8 PTS) (Leonard 1 AST)")</f>
        <v>Baynes 2' Reverse Layup (8 PTS) (Leonard 1 AST)</v>
      </c>
      <c r="L1156" s="2" t="str">
        <f>HYPERLINK("https://www.nba.com/game/...-vs-...-0021400249/play-by-play?watchFullGame=true", "SAS vs PHI - Q2 08:41.00")</f>
        <v>SAS vs PHI - Q2 08:41.00</v>
      </c>
      <c r="M1156">
        <v>2</v>
      </c>
      <c r="N1156">
        <v>-15</v>
      </c>
      <c r="O1156">
        <v>0</v>
      </c>
      <c r="P1156">
        <v>-15</v>
      </c>
      <c r="Q1156">
        <v>0</v>
      </c>
      <c r="R1156" t="s">
        <v>0</v>
      </c>
      <c r="S1156" t="s">
        <v>0</v>
      </c>
      <c r="T1156" t="s">
        <v>0</v>
      </c>
    </row>
    <row r="1157" spans="1:20" x14ac:dyDescent="0.25">
      <c r="A1157">
        <v>21400314</v>
      </c>
      <c r="B1157" t="s">
        <v>4</v>
      </c>
      <c r="C1157" t="s">
        <v>57</v>
      </c>
      <c r="D1157">
        <v>2</v>
      </c>
      <c r="E1157">
        <v>0</v>
      </c>
      <c r="F1157">
        <v>2</v>
      </c>
      <c r="G1157">
        <v>1</v>
      </c>
      <c r="H1157" s="1">
        <v>7.9861111111111105E-3</v>
      </c>
      <c r="I1157">
        <v>2014</v>
      </c>
      <c r="J1157" t="s">
        <v>7</v>
      </c>
      <c r="K1157" s="2" t="str">
        <f>HYPERLINK("https://www.nba.com/stats/events?CFID=&amp;CFPARAMS=&amp;GameEventID=4&amp;GameID=0021400314&amp;Season=2014-15&amp;flag=1&amp;title=Bonner%2010'%20Running%20Bank%20Shot%20(2%20PTS)%20(Leonard%201%20AST)", "Bonner 10' Running Bank Shot (2 PTS) (Leonard 1 AST)")</f>
        <v>Bonner 10' Running Bank Shot (2 PTS) (Leonard 1 AST)</v>
      </c>
      <c r="L1157" s="2" t="str">
        <f>HYPERLINK("https://www.nba.com/game/...-vs-...-0021400314/play-by-play?watchFullGame=true", "SAS vs UTA - Q1 11:30.00")</f>
        <v>SAS vs UTA - Q1 11:30.00</v>
      </c>
      <c r="M1157">
        <v>10</v>
      </c>
      <c r="N1157">
        <v>84</v>
      </c>
      <c r="O1157">
        <v>58</v>
      </c>
      <c r="P1157">
        <v>84</v>
      </c>
      <c r="Q1157">
        <v>58</v>
      </c>
      <c r="R1157" t="s">
        <v>0</v>
      </c>
      <c r="S1157" t="s">
        <v>0</v>
      </c>
      <c r="T1157" t="s">
        <v>0</v>
      </c>
    </row>
    <row r="1158" spans="1:20" x14ac:dyDescent="0.25">
      <c r="A1158">
        <v>21400595</v>
      </c>
      <c r="B1158" t="s">
        <v>4</v>
      </c>
      <c r="C1158" t="s">
        <v>5</v>
      </c>
      <c r="D1158">
        <v>8</v>
      </c>
      <c r="E1158">
        <v>4</v>
      </c>
      <c r="F1158">
        <v>4</v>
      </c>
      <c r="G1158">
        <v>1</v>
      </c>
      <c r="H1158" s="1">
        <v>6.4351851851851853E-3</v>
      </c>
      <c r="I1158">
        <v>2014</v>
      </c>
      <c r="J1158" t="s">
        <v>7</v>
      </c>
      <c r="K1158" s="2" t="str">
        <f>HYPERLINK("https://www.nba.com/stats/events?CFID=&amp;CFPARAMS=&amp;GameEventID=20&amp;GameID=0021400595&amp;Season=2014-15&amp;flag=1&amp;title=Parker%202'%20Layup%20(4%20PTS)%20(Leonard%201%20AST)", "Parker 2' Layup (4 PTS) (Leonard 1 AST)")</f>
        <v>Parker 2' Layup (4 PTS) (Leonard 1 AST)</v>
      </c>
      <c r="L1158" s="2" t="str">
        <f>HYPERLINK("https://www.nba.com/game/...-vs-...-0021400595/play-by-play?watchFullGame=true", "SAS vs POR - Q1 09:16.00")</f>
        <v>SAS vs POR - Q1 09:16.00</v>
      </c>
      <c r="M1158">
        <v>2</v>
      </c>
      <c r="N1158">
        <v>15</v>
      </c>
      <c r="O1158">
        <v>15</v>
      </c>
      <c r="P1158">
        <v>15</v>
      </c>
      <c r="Q1158">
        <v>15</v>
      </c>
      <c r="R1158" t="s">
        <v>0</v>
      </c>
      <c r="S1158" t="s">
        <v>0</v>
      </c>
      <c r="T1158" t="s">
        <v>0</v>
      </c>
    </row>
    <row r="1159" spans="1:20" x14ac:dyDescent="0.25">
      <c r="A1159">
        <v>21400557</v>
      </c>
      <c r="B1159" t="s">
        <v>4</v>
      </c>
      <c r="C1159" t="s">
        <v>9</v>
      </c>
      <c r="D1159">
        <v>28</v>
      </c>
      <c r="E1159">
        <v>15</v>
      </c>
      <c r="F1159">
        <v>13</v>
      </c>
      <c r="G1159">
        <v>2</v>
      </c>
      <c r="H1159" s="1">
        <v>7.5347222222222222E-3</v>
      </c>
      <c r="I1159">
        <v>2014</v>
      </c>
      <c r="J1159" t="s">
        <v>12</v>
      </c>
      <c r="K1159" s="2" t="str">
        <f>HYPERLINK("https://www.nba.com/stats/events?CFID=&amp;CFPARAMS=&amp;GameEventID=134&amp;GameID=0021400557&amp;Season=2014-15&amp;flag=1&amp;title=Kaman%2015'%20Jump%20Shot%20(4%20PTS)%20(Leonard%201%20AST)", "Kaman 15' Jump Shot (4 PTS) (Leonard 1 AST)")</f>
        <v>Kaman 15' Jump Shot (4 PTS) (Leonard 1 AST)</v>
      </c>
      <c r="L1159" s="2" t="str">
        <f>HYPERLINK("https://www.nba.com/game/...-vs-...-0021400557/play-by-play?watchFullGame=true", "POR vs ORL - Q2 10:51.00")</f>
        <v>POR vs ORL - Q2 10:51.00</v>
      </c>
      <c r="M1159">
        <v>15</v>
      </c>
      <c r="N1159">
        <v>152</v>
      </c>
      <c r="O1159">
        <v>23</v>
      </c>
      <c r="P1159">
        <v>152</v>
      </c>
      <c r="Q1159">
        <v>23</v>
      </c>
      <c r="R1159" t="s">
        <v>0</v>
      </c>
      <c r="S1159" t="s">
        <v>0</v>
      </c>
      <c r="T1159" t="s">
        <v>0</v>
      </c>
    </row>
    <row r="1160" spans="1:20" x14ac:dyDescent="0.25">
      <c r="A1160">
        <v>21400583</v>
      </c>
      <c r="B1160" t="s">
        <v>4</v>
      </c>
      <c r="C1160" t="s">
        <v>9</v>
      </c>
      <c r="D1160">
        <v>30</v>
      </c>
      <c r="E1160">
        <v>33</v>
      </c>
      <c r="F1160">
        <v>3</v>
      </c>
      <c r="G1160">
        <v>2</v>
      </c>
      <c r="H1160" s="1">
        <v>5.185185185185185E-3</v>
      </c>
      <c r="I1160">
        <v>2014</v>
      </c>
      <c r="J1160" t="s">
        <v>12</v>
      </c>
      <c r="K1160" s="2" t="str">
        <f>HYPERLINK("https://www.nba.com/stats/events?CFID=&amp;CFPARAMS=&amp;GameEventID=150&amp;GameID=0021400583&amp;Season=2014-15&amp;flag=1&amp;title=Blake%2020'%20Jump%20Shot%20(2%20PTS)%20(Leonard%201%20AST)", "Blake 20' Jump Shot (2 PTS) (Leonard 1 AST)")</f>
        <v>Blake 20' Jump Shot (2 PTS) (Leonard 1 AST)</v>
      </c>
      <c r="L1160" s="2" t="str">
        <f>HYPERLINK("https://www.nba.com/game/...-vs-...-0021400583/play-by-play?watchFullGame=true", "POR vs LAC - Q2 07:28.00")</f>
        <v>POR vs LAC - Q2 07:28.00</v>
      </c>
      <c r="M1160">
        <v>20</v>
      </c>
      <c r="N1160">
        <v>-112</v>
      </c>
      <c r="O1160">
        <v>168</v>
      </c>
      <c r="P1160">
        <v>-112</v>
      </c>
      <c r="Q1160">
        <v>168</v>
      </c>
      <c r="R1160" t="s">
        <v>0</v>
      </c>
      <c r="S1160" t="s">
        <v>0</v>
      </c>
      <c r="T1160" t="s">
        <v>0</v>
      </c>
    </row>
    <row r="1161" spans="1:20" x14ac:dyDescent="0.25">
      <c r="A1161">
        <v>21400595</v>
      </c>
      <c r="B1161" t="s">
        <v>4</v>
      </c>
      <c r="C1161" t="s">
        <v>9</v>
      </c>
      <c r="D1161">
        <v>97</v>
      </c>
      <c r="E1161">
        <v>79</v>
      </c>
      <c r="F1161">
        <v>18</v>
      </c>
      <c r="G1161">
        <v>4</v>
      </c>
      <c r="H1161" s="1">
        <v>6.9791666666666665E-3</v>
      </c>
      <c r="I1161">
        <v>2014</v>
      </c>
      <c r="J1161" t="s">
        <v>7</v>
      </c>
      <c r="K1161" s="2" t="str">
        <f>HYPERLINK("https://www.nba.com/stats/events?CFID=&amp;CFPARAMS=&amp;GameEventID=402&amp;GameID=0021400595&amp;Season=2014-15&amp;flag=1&amp;title=Diaw%209'%20Jump%20Shot%20(5%20PTS)%20(Leonard%205%20AST)", "Diaw 9' Jump Shot (5 PTS) (Leonard 5 AST)")</f>
        <v>Diaw 9' Jump Shot (5 PTS) (Leonard 5 AST)</v>
      </c>
      <c r="L1161" s="2" t="str">
        <f>HYPERLINK("https://www.nba.com/game/...-vs-...-0021400595/play-by-play?watchFullGame=true", "SAS vs POR - Q4 10:03.00")</f>
        <v>SAS vs POR - Q4 10:03.00</v>
      </c>
      <c r="M1161">
        <v>9</v>
      </c>
      <c r="N1161">
        <v>-87</v>
      </c>
      <c r="O1161">
        <v>20</v>
      </c>
      <c r="P1161">
        <v>-87</v>
      </c>
      <c r="Q1161">
        <v>20</v>
      </c>
      <c r="R1161" t="s">
        <v>0</v>
      </c>
      <c r="S1161" t="s">
        <v>0</v>
      </c>
      <c r="T1161" t="s">
        <v>0</v>
      </c>
    </row>
    <row r="1162" spans="1:20" x14ac:dyDescent="0.25">
      <c r="A1162">
        <v>21400739</v>
      </c>
      <c r="B1162" t="s">
        <v>4</v>
      </c>
      <c r="C1162" t="s">
        <v>26</v>
      </c>
      <c r="D1162">
        <v>38</v>
      </c>
      <c r="E1162">
        <v>34</v>
      </c>
      <c r="F1162">
        <v>4</v>
      </c>
      <c r="G1162">
        <v>2</v>
      </c>
      <c r="H1162" s="1">
        <v>3.9351851851851848E-3</v>
      </c>
      <c r="I1162">
        <v>2014</v>
      </c>
      <c r="J1162" t="s">
        <v>7</v>
      </c>
      <c r="K1162" s="2" t="str">
        <f>HYPERLINK("https://www.nba.com/stats/events?CFID=&amp;CFPARAMS=&amp;GameEventID=170&amp;GameID=0021400739&amp;Season=2014-15&amp;flag=1&amp;title=Duncan%201'%20Reverse%20Layup%20(9%20PTS)%20(Leonard%203%20AST)", "Duncan 1' Reverse Layup (9 PTS) (Leonard 3 AST)")</f>
        <v>Duncan 1' Reverse Layup (9 PTS) (Leonard 3 AST)</v>
      </c>
      <c r="L1162" s="2" t="str">
        <f>HYPERLINK("https://www.nba.com/game/...-vs-...-0021400739/play-by-play?watchFullGame=true", "SAS vs ORL - Q2 05:40.00")</f>
        <v>SAS vs ORL - Q2 05:40.00</v>
      </c>
      <c r="M1162">
        <v>1</v>
      </c>
      <c r="N1162">
        <v>-13</v>
      </c>
      <c r="O1162">
        <v>7</v>
      </c>
      <c r="P1162">
        <v>-13</v>
      </c>
      <c r="Q1162">
        <v>7</v>
      </c>
      <c r="R1162" t="s">
        <v>0</v>
      </c>
      <c r="S1162" t="s">
        <v>0</v>
      </c>
      <c r="T1162" t="s">
        <v>0</v>
      </c>
    </row>
    <row r="1163" spans="1:20" x14ac:dyDescent="0.25">
      <c r="A1163">
        <v>21400739</v>
      </c>
      <c r="B1163" t="s">
        <v>10</v>
      </c>
      <c r="C1163" t="s">
        <v>9</v>
      </c>
      <c r="D1163">
        <v>54</v>
      </c>
      <c r="E1163">
        <v>46</v>
      </c>
      <c r="F1163">
        <v>8</v>
      </c>
      <c r="G1163">
        <v>3</v>
      </c>
      <c r="H1163" s="1">
        <v>7.8935185185185185E-3</v>
      </c>
      <c r="I1163">
        <v>2014</v>
      </c>
      <c r="J1163" t="s">
        <v>7</v>
      </c>
      <c r="K1163" s="2" t="str">
        <f>HYPERLINK("https://www.nba.com/stats/events?CFID=&amp;CFPARAMS=&amp;GameEventID=227&amp;GameID=0021400739&amp;Season=2014-15&amp;flag=1&amp;title=Green%20%203PT%20Jump%20Shot%20(6%20PTS)%20(Leonard%204%20AST)", "Green  3PT Jump Shot (6 PTS) (Leonard 4 AST)")</f>
        <v>Green  3PT Jump Shot (6 PTS) (Leonard 4 AST)</v>
      </c>
      <c r="L1163" s="2" t="str">
        <f>HYPERLINK("https://www.nba.com/game/...-vs-...-0021400739/play-by-play?watchFullGame=true", "SAS vs ORL - Q3 11:22.00")</f>
        <v>SAS vs ORL - Q3 11:22.00</v>
      </c>
      <c r="M1163">
        <v>0</v>
      </c>
      <c r="N1163">
        <v>233</v>
      </c>
      <c r="O1163">
        <v>6</v>
      </c>
      <c r="P1163">
        <v>233</v>
      </c>
      <c r="Q1163">
        <v>6</v>
      </c>
      <c r="R1163" t="s">
        <v>0</v>
      </c>
      <c r="S1163" t="s">
        <v>0</v>
      </c>
      <c r="T1163" t="s">
        <v>0</v>
      </c>
    </row>
    <row r="1164" spans="1:20" x14ac:dyDescent="0.25">
      <c r="A1164">
        <v>21400790</v>
      </c>
      <c r="B1164" t="s">
        <v>10</v>
      </c>
      <c r="C1164" t="s">
        <v>9</v>
      </c>
      <c r="D1164">
        <v>33</v>
      </c>
      <c r="E1164">
        <v>22</v>
      </c>
      <c r="F1164">
        <v>11</v>
      </c>
      <c r="G1164">
        <v>2</v>
      </c>
      <c r="H1164" s="1">
        <v>4.5486111111111109E-3</v>
      </c>
      <c r="I1164">
        <v>2014</v>
      </c>
      <c r="J1164" t="s">
        <v>7</v>
      </c>
      <c r="K1164" s="2" t="str">
        <f>HYPERLINK("https://www.nba.com/stats/events?CFID=&amp;CFPARAMS=&amp;GameEventID=169&amp;GameID=0021400790&amp;Season=2014-15&amp;flag=1&amp;title=Green%2026'%203PT%20Jump%20Shot%20(6%20PTS)%20(Leonard%201%20AST)", "Green 26' 3PT Jump Shot (6 PTS) (Leonard 1 AST)")</f>
        <v>Green 26' 3PT Jump Shot (6 PTS) (Leonard 1 AST)</v>
      </c>
      <c r="L1164" s="2" t="str">
        <f>HYPERLINK("https://www.nba.com/game/...-vs-...-0021400790/play-by-play?watchFullGame=true", "SAS vs DET - Q2 06:33.00")</f>
        <v>SAS vs DET - Q2 06:33.00</v>
      </c>
      <c r="M1164">
        <v>26</v>
      </c>
      <c r="N1164">
        <v>211</v>
      </c>
      <c r="O1164">
        <v>154</v>
      </c>
      <c r="P1164">
        <v>211</v>
      </c>
      <c r="Q1164">
        <v>154</v>
      </c>
      <c r="R1164" t="s">
        <v>0</v>
      </c>
      <c r="S1164" t="s">
        <v>0</v>
      </c>
      <c r="T1164" t="s">
        <v>0</v>
      </c>
    </row>
    <row r="1165" spans="1:20" x14ac:dyDescent="0.25">
      <c r="A1165">
        <v>21400802</v>
      </c>
      <c r="B1165" t="s">
        <v>10</v>
      </c>
      <c r="C1165" t="s">
        <v>9</v>
      </c>
      <c r="D1165">
        <v>91</v>
      </c>
      <c r="E1165">
        <v>92</v>
      </c>
      <c r="F1165">
        <v>1</v>
      </c>
      <c r="G1165">
        <v>4</v>
      </c>
      <c r="H1165" s="1">
        <v>7.0949074074074074E-3</v>
      </c>
      <c r="I1165">
        <v>2014</v>
      </c>
      <c r="J1165" t="s">
        <v>7</v>
      </c>
      <c r="K1165" s="2" t="str">
        <f>HYPERLINK("https://www.nba.com/stats/events?CFID=&amp;CFPARAMS=&amp;GameEventID=426&amp;GameID=0021400802&amp;Season=2014-15&amp;flag=1&amp;title=Ginobili%2028'%203PT%20Jump%20Shot%20(9%20PTS)%20(Leonard%205%20AST)", "Ginobili 28' 3PT Jump Shot (9 PTS) (Leonard 5 AST)")</f>
        <v>Ginobili 28' 3PT Jump Shot (9 PTS) (Leonard 5 AST)</v>
      </c>
      <c r="L1165" s="2" t="str">
        <f>HYPERLINK("https://www.nba.com/game/...-vs-...-0021400802/play-by-play?watchFullGame=true", "SAS vs LAC - Q4 10:13.00")</f>
        <v>SAS vs LAC - Q4 10:13.00</v>
      </c>
      <c r="M1165">
        <v>28</v>
      </c>
      <c r="N1165">
        <v>70</v>
      </c>
      <c r="O1165">
        <v>276</v>
      </c>
      <c r="P1165">
        <v>70</v>
      </c>
      <c r="Q1165">
        <v>276</v>
      </c>
      <c r="R1165" t="s">
        <v>0</v>
      </c>
      <c r="S1165" t="s">
        <v>0</v>
      </c>
      <c r="T1165" t="s">
        <v>0</v>
      </c>
    </row>
    <row r="1166" spans="1:20" x14ac:dyDescent="0.25">
      <c r="A1166">
        <v>21401039</v>
      </c>
      <c r="B1166" t="s">
        <v>4</v>
      </c>
      <c r="C1166" t="s">
        <v>36</v>
      </c>
      <c r="D1166">
        <v>54</v>
      </c>
      <c r="E1166">
        <v>37</v>
      </c>
      <c r="F1166">
        <v>17</v>
      </c>
      <c r="G1166">
        <v>2</v>
      </c>
      <c r="H1166" s="1">
        <v>1.5856481481481481E-3</v>
      </c>
      <c r="I1166">
        <v>2014</v>
      </c>
      <c r="J1166" t="s">
        <v>7</v>
      </c>
      <c r="K1166" s="2" t="str">
        <f>HYPERLINK("https://www.nba.com/stats/events?CFID=&amp;CFPARAMS=&amp;GameEventID=210&amp;GameID=0021401039&amp;Season=2014-15&amp;flag=1&amp;title=Splitter%20%20Running%20Layup%20(13%20PTS)%20(Leonard%204%20AST)", "Splitter  Running Layup (13 PTS) (Leonard 4 AST)")</f>
        <v>Splitter  Running Layup (13 PTS) (Leonard 4 AST)</v>
      </c>
      <c r="L1166" s="2" t="str">
        <f>HYPERLINK("https://www.nba.com/game/...-vs-...-0021401039/play-by-play?watchFullGame=true", "SAS vs ATL - Q2 02:17.00")</f>
        <v>SAS vs ATL - Q2 02:17.00</v>
      </c>
      <c r="M1166">
        <v>0</v>
      </c>
      <c r="N1166">
        <v>2</v>
      </c>
      <c r="O1166">
        <v>4</v>
      </c>
      <c r="P1166">
        <v>2</v>
      </c>
      <c r="Q1166">
        <v>4</v>
      </c>
      <c r="R1166" t="s">
        <v>0</v>
      </c>
      <c r="S1166" t="s">
        <v>0</v>
      </c>
      <c r="T1166" t="s">
        <v>0</v>
      </c>
    </row>
    <row r="1167" spans="1:20" x14ac:dyDescent="0.25">
      <c r="A1167">
        <v>21401134</v>
      </c>
      <c r="B1167" t="s">
        <v>4</v>
      </c>
      <c r="C1167" t="s">
        <v>9</v>
      </c>
      <c r="D1167">
        <v>32</v>
      </c>
      <c r="E1167">
        <v>16</v>
      </c>
      <c r="F1167">
        <v>16</v>
      </c>
      <c r="G1167">
        <v>1</v>
      </c>
      <c r="H1167" s="1">
        <v>2.8472222222222223E-3</v>
      </c>
      <c r="I1167">
        <v>2014</v>
      </c>
      <c r="J1167" t="s">
        <v>7</v>
      </c>
      <c r="K1167" s="2" t="str">
        <f>HYPERLINK("https://www.nba.com/stats/events?CFID=&amp;CFPARAMS=&amp;GameEventID=67&amp;GameID=0021401134&amp;Season=2014-15&amp;flag=1&amp;title=Ginobili%2014'%20Jump%20Shot%20(2%20PTS)%20(Leonard%202%20AST)", "Ginobili 14' Jump Shot (2 PTS) (Leonard 2 AST)")</f>
        <v>Ginobili 14' Jump Shot (2 PTS) (Leonard 2 AST)</v>
      </c>
      <c r="L1167" s="2" t="str">
        <f>HYPERLINK("https://www.nba.com/game/...-vs-...-0021401134/play-by-play?watchFullGame=true", "SAS vs DEN - Q1 04:06.00")</f>
        <v>SAS vs DEN - Q1 04:06.00</v>
      </c>
      <c r="M1167">
        <v>14</v>
      </c>
      <c r="N1167">
        <v>-48</v>
      </c>
      <c r="O1167">
        <v>132</v>
      </c>
      <c r="P1167">
        <v>-48</v>
      </c>
      <c r="Q1167">
        <v>132</v>
      </c>
      <c r="R1167" t="s">
        <v>0</v>
      </c>
      <c r="S1167" t="s">
        <v>0</v>
      </c>
      <c r="T1167" t="s">
        <v>0</v>
      </c>
    </row>
    <row r="1168" spans="1:20" x14ac:dyDescent="0.25">
      <c r="A1168">
        <v>21401150</v>
      </c>
      <c r="B1168" t="s">
        <v>4</v>
      </c>
      <c r="C1168" t="s">
        <v>38</v>
      </c>
      <c r="D1168">
        <v>24</v>
      </c>
      <c r="E1168">
        <v>9</v>
      </c>
      <c r="F1168">
        <v>15</v>
      </c>
      <c r="G1168">
        <v>1</v>
      </c>
      <c r="H1168" s="1">
        <v>3.0324074074074073E-3</v>
      </c>
      <c r="I1168">
        <v>2014</v>
      </c>
      <c r="J1168" t="s">
        <v>7</v>
      </c>
      <c r="K1168" s="2" t="str">
        <f>HYPERLINK("https://www.nba.com/stats/events?CFID=&amp;CFPARAMS=&amp;GameEventID=83&amp;GameID=0021401150&amp;Season=2014-15&amp;flag=1&amp;title=Duncan%20%20Dunk%20(6%20PTS)%20(Leonard%202%20AST)", "Duncan  Dunk (6 PTS) (Leonard 2 AST)")</f>
        <v>Duncan  Dunk (6 PTS) (Leonard 2 AST)</v>
      </c>
      <c r="L1168" s="2" t="str">
        <f>HYPERLINK("https://www.nba.com/game/...-vs-...-0021401150/play-by-play?watchFullGame=true", "SAS vs GSW - Q1 04:22.00")</f>
        <v>SAS vs GSW - Q1 04:22.00</v>
      </c>
      <c r="M1168">
        <v>0</v>
      </c>
      <c r="N1168">
        <v>0</v>
      </c>
      <c r="O1168">
        <v>1</v>
      </c>
      <c r="P1168">
        <v>0</v>
      </c>
      <c r="Q1168">
        <v>1</v>
      </c>
      <c r="R1168" t="s">
        <v>0</v>
      </c>
      <c r="S1168" t="s">
        <v>0</v>
      </c>
      <c r="T1168" t="s">
        <v>0</v>
      </c>
    </row>
    <row r="1169" spans="1:20" x14ac:dyDescent="0.25">
      <c r="A1169">
        <v>21500032</v>
      </c>
      <c r="B1169" t="s">
        <v>4</v>
      </c>
      <c r="C1169" t="s">
        <v>9</v>
      </c>
      <c r="D1169">
        <v>5</v>
      </c>
      <c r="E1169">
        <v>4</v>
      </c>
      <c r="F1169">
        <v>1</v>
      </c>
      <c r="G1169">
        <v>1</v>
      </c>
      <c r="H1169" s="1">
        <v>6.6203703703703702E-3</v>
      </c>
      <c r="I1169">
        <v>2015</v>
      </c>
      <c r="J1169" t="s">
        <v>12</v>
      </c>
      <c r="K1169" s="2" t="str">
        <f>HYPERLINK("https://www.nba.com/stats/events?CFID=&amp;CFPARAMS=&amp;GameEventID=19&amp;GameID=0021500032&amp;Season=2015-16&amp;flag=1&amp;title=McCollum%2019'%20Jump%20Shot%20(2%20PTS)%20(Leonard%201%20AST)", "McCollum 19' Jump Shot (2 PTS) (Leonard 1 AST)")</f>
        <v>McCollum 19' Jump Shot (2 PTS) (Leonard 1 AST)</v>
      </c>
      <c r="L1169" s="2" t="str">
        <f>HYPERLINK("https://www.nba.com/game/...-vs-...-0021500032/play-by-play?watchFullGame=true", "POR vs PHX - Q1 09:32.00")</f>
        <v>POR vs PHX - Q1 09:32.00</v>
      </c>
      <c r="M1169">
        <v>19</v>
      </c>
      <c r="N1169">
        <v>110</v>
      </c>
      <c r="O1169">
        <v>160</v>
      </c>
      <c r="P1169">
        <v>110</v>
      </c>
      <c r="Q1169">
        <v>160</v>
      </c>
      <c r="R1169" t="s">
        <v>0</v>
      </c>
      <c r="S1169" t="s">
        <v>0</v>
      </c>
      <c r="T1169" t="s">
        <v>0</v>
      </c>
    </row>
    <row r="1170" spans="1:20" x14ac:dyDescent="0.25">
      <c r="A1170">
        <v>21500195</v>
      </c>
      <c r="B1170" t="s">
        <v>4</v>
      </c>
      <c r="C1170" t="s">
        <v>23</v>
      </c>
      <c r="D1170">
        <v>10</v>
      </c>
      <c r="E1170">
        <v>4</v>
      </c>
      <c r="F1170">
        <v>6</v>
      </c>
      <c r="G1170">
        <v>1</v>
      </c>
      <c r="H1170" s="1">
        <v>3.9699074074074072E-3</v>
      </c>
      <c r="I1170">
        <v>2015</v>
      </c>
      <c r="J1170" t="s">
        <v>7</v>
      </c>
      <c r="K1170" s="2" t="str">
        <f>HYPERLINK("https://www.nba.com/stats/events?CFID=&amp;CFPARAMS=&amp;GameEventID=50&amp;GameID=0021500195&amp;Season=2015-16&amp;flag=1&amp;title=Green%202'%20Driving%20Layup%20(4%20PTS)%20(Leonard%201%20AST)", "Green 2' Driving Layup (4 PTS) (Leonard 1 AST)")</f>
        <v>Green 2' Driving Layup (4 PTS) (Leonard 1 AST)</v>
      </c>
      <c r="L1170" s="2" t="str">
        <f>HYPERLINK("https://www.nba.com/game/...-vs-...-0021500195/play-by-play?watchFullGame=true", "SAS vs MEM - Q1 05:43.00")</f>
        <v>SAS vs MEM - Q1 05:43.00</v>
      </c>
      <c r="M1170">
        <v>2</v>
      </c>
      <c r="N1170">
        <v>-12</v>
      </c>
      <c r="O1170">
        <v>11</v>
      </c>
      <c r="P1170">
        <v>-12</v>
      </c>
      <c r="Q1170">
        <v>11</v>
      </c>
      <c r="R1170" t="s">
        <v>0</v>
      </c>
      <c r="S1170" t="s">
        <v>0</v>
      </c>
      <c r="T1170" t="s">
        <v>0</v>
      </c>
    </row>
    <row r="1171" spans="1:20" x14ac:dyDescent="0.25">
      <c r="A1171">
        <v>21500207</v>
      </c>
      <c r="B1171" t="s">
        <v>10</v>
      </c>
      <c r="C1171" t="s">
        <v>9</v>
      </c>
      <c r="D1171">
        <v>47</v>
      </c>
      <c r="E1171">
        <v>38</v>
      </c>
      <c r="F1171">
        <v>9</v>
      </c>
      <c r="G1171">
        <v>3</v>
      </c>
      <c r="H1171" s="1">
        <v>6.9097222222222225E-3</v>
      </c>
      <c r="I1171">
        <v>2015</v>
      </c>
      <c r="J1171" t="s">
        <v>7</v>
      </c>
      <c r="K1171" s="2" t="str">
        <f>HYPERLINK("https://www.nba.com/stats/events?CFID=&amp;CFPARAMS=&amp;GameEventID=264&amp;GameID=0021500207&amp;Season=2015-16&amp;flag=1&amp;title=Green%2024'%203PT%20Jump%20Shot%20(10%20PTS)%20(Leonard%203%20AST)", "Green 24' 3PT Jump Shot (10 PTS) (Leonard 3 AST)")</f>
        <v>Green 24' 3PT Jump Shot (10 PTS) (Leonard 3 AST)</v>
      </c>
      <c r="L1171" s="2" t="str">
        <f>HYPERLINK("https://www.nba.com/game/...-vs-...-0021500207/play-by-play?watchFullGame=true", "SAS vs PHX - Q3 09:57.00")</f>
        <v>SAS vs PHX - Q3 09:57.00</v>
      </c>
      <c r="M1171">
        <v>24</v>
      </c>
      <c r="N1171">
        <v>197</v>
      </c>
      <c r="O1171">
        <v>144</v>
      </c>
      <c r="P1171">
        <v>197</v>
      </c>
      <c r="Q1171">
        <v>144</v>
      </c>
      <c r="R1171" t="s">
        <v>0</v>
      </c>
      <c r="S1171" t="s">
        <v>0</v>
      </c>
      <c r="T1171" t="s">
        <v>0</v>
      </c>
    </row>
    <row r="1172" spans="1:20" x14ac:dyDescent="0.25">
      <c r="A1172">
        <v>21500244</v>
      </c>
      <c r="B1172" t="s">
        <v>10</v>
      </c>
      <c r="C1172" t="s">
        <v>9</v>
      </c>
      <c r="D1172">
        <v>37</v>
      </c>
      <c r="E1172">
        <v>25</v>
      </c>
      <c r="F1172">
        <v>12</v>
      </c>
      <c r="G1172">
        <v>2</v>
      </c>
      <c r="H1172" s="1">
        <v>6.7476851851851856E-3</v>
      </c>
      <c r="I1172">
        <v>2015</v>
      </c>
      <c r="J1172" t="s">
        <v>12</v>
      </c>
      <c r="K1172" s="2" t="str">
        <f>HYPERLINK("https://www.nba.com/stats/events?CFID=&amp;CFPARAMS=&amp;GameEventID=130&amp;GameID=0021500244&amp;Season=2015-16&amp;flag=1&amp;title=Crabbe%2024'%203PT%20Jump%20Shot%20(5%20PTS)%20(Leonard%201%20AST)", "Crabbe 24' 3PT Jump Shot (5 PTS) (Leonard 1 AST)")</f>
        <v>Crabbe 24' 3PT Jump Shot (5 PTS) (Leonard 1 AST)</v>
      </c>
      <c r="L1172" s="2" t="str">
        <f>HYPERLINK("https://www.nba.com/game/...-vs-...-0021500244/play-by-play?watchFullGame=true", "POR vs LAL - Q2 09:43.00")</f>
        <v>POR vs LAL - Q2 09:43.00</v>
      </c>
      <c r="M1172">
        <v>24</v>
      </c>
      <c r="N1172">
        <v>69</v>
      </c>
      <c r="O1172">
        <v>234</v>
      </c>
      <c r="P1172">
        <v>69</v>
      </c>
      <c r="Q1172">
        <v>234</v>
      </c>
      <c r="R1172" t="s">
        <v>0</v>
      </c>
      <c r="S1172" t="s">
        <v>0</v>
      </c>
      <c r="T1172" t="s">
        <v>0</v>
      </c>
    </row>
    <row r="1173" spans="1:20" x14ac:dyDescent="0.25">
      <c r="A1173">
        <v>21500347</v>
      </c>
      <c r="B1173" t="s">
        <v>10</v>
      </c>
      <c r="C1173" t="s">
        <v>9</v>
      </c>
      <c r="D1173">
        <v>96</v>
      </c>
      <c r="E1173">
        <v>72</v>
      </c>
      <c r="F1173">
        <v>24</v>
      </c>
      <c r="G1173">
        <v>4</v>
      </c>
      <c r="H1173" s="1">
        <v>3.7499999999999999E-3</v>
      </c>
      <c r="I1173">
        <v>2015</v>
      </c>
      <c r="J1173" t="s">
        <v>7</v>
      </c>
      <c r="K1173" s="2" t="str">
        <f>HYPERLINK("https://www.nba.com/stats/events?CFID=&amp;CFPARAMS=&amp;GameEventID=472&amp;GameID=0021500347&amp;Season=2015-16&amp;flag=1&amp;title=Butler%20%203PT%20Jump%20Shot%20(6%20PTS)%20(Leonard%204%20AST)", "Butler  3PT Jump Shot (6 PTS) (Leonard 4 AST)")</f>
        <v>Butler  3PT Jump Shot (6 PTS) (Leonard 4 AST)</v>
      </c>
      <c r="L1173" s="2" t="str">
        <f>HYPERLINK("https://www.nba.com/game/...-vs-...-0021500347/play-by-play?watchFullGame=true", "SAS vs ATL - Q4 05:24.00")</f>
        <v>SAS vs ATL - Q4 05:24.00</v>
      </c>
      <c r="M1173">
        <v>0</v>
      </c>
      <c r="N1173">
        <v>232</v>
      </c>
      <c r="O1173">
        <v>11</v>
      </c>
      <c r="P1173">
        <v>232</v>
      </c>
      <c r="Q1173">
        <v>11</v>
      </c>
      <c r="R1173" t="s">
        <v>0</v>
      </c>
      <c r="S1173" t="s">
        <v>0</v>
      </c>
      <c r="T1173" t="s">
        <v>0</v>
      </c>
    </row>
    <row r="1174" spans="1:20" x14ac:dyDescent="0.25">
      <c r="A1174">
        <v>21500364</v>
      </c>
      <c r="B1174" t="s">
        <v>4</v>
      </c>
      <c r="C1174" t="s">
        <v>45</v>
      </c>
      <c r="D1174">
        <v>81</v>
      </c>
      <c r="E1174">
        <v>43</v>
      </c>
      <c r="F1174">
        <v>38</v>
      </c>
      <c r="G1174">
        <v>3</v>
      </c>
      <c r="H1174" s="1">
        <v>4.1319444444444442E-3</v>
      </c>
      <c r="I1174">
        <v>2015</v>
      </c>
      <c r="J1174" t="s">
        <v>7</v>
      </c>
      <c r="K1174" s="2" t="str">
        <f>HYPERLINK("https://www.nba.com/stats/events?CFID=&amp;CFPARAMS=&amp;GameEventID=317&amp;GameID=0021500364&amp;Season=2015-16&amp;flag=1&amp;title=Aldridge%20%20Alley%20Oop%20Dunk%20(18%20PTS)%20(Leonard%202%20AST)", "Aldridge  Alley Oop Dunk (18 PTS) (Leonard 2 AST)")</f>
        <v>Aldridge  Alley Oop Dunk (18 PTS) (Leonard 2 AST)</v>
      </c>
      <c r="L1174" s="2" t="str">
        <f>HYPERLINK("https://www.nba.com/game/...-vs-...-0021500364/play-by-play?watchFullGame=true", "SAS vs UTA - Q3 05:57.00")</f>
        <v>SAS vs UTA - Q3 05:57.00</v>
      </c>
      <c r="M1174">
        <v>0</v>
      </c>
      <c r="N1174">
        <v>0</v>
      </c>
      <c r="O1174">
        <v>1</v>
      </c>
      <c r="P1174">
        <v>0</v>
      </c>
      <c r="Q1174">
        <v>1</v>
      </c>
      <c r="R1174" t="s">
        <v>0</v>
      </c>
      <c r="S1174" t="s">
        <v>0</v>
      </c>
      <c r="T1174" t="s">
        <v>0</v>
      </c>
    </row>
    <row r="1175" spans="1:20" x14ac:dyDescent="0.25">
      <c r="A1175">
        <v>21500378</v>
      </c>
      <c r="B1175" t="s">
        <v>4</v>
      </c>
      <c r="C1175" t="s">
        <v>38</v>
      </c>
      <c r="D1175">
        <v>85</v>
      </c>
      <c r="E1175">
        <v>105</v>
      </c>
      <c r="F1175">
        <v>20</v>
      </c>
      <c r="G1175">
        <v>4</v>
      </c>
      <c r="H1175" s="1">
        <v>9.837962962962962E-4</v>
      </c>
      <c r="I1175">
        <v>2015</v>
      </c>
      <c r="J1175" t="s">
        <v>12</v>
      </c>
      <c r="K1175" s="2" t="str">
        <f>HYPERLINK("https://www.nba.com/stats/events?CFID=&amp;CFPARAMS=&amp;GameEventID=573&amp;GameID=0021500378&amp;Season=2015-16&amp;flag=1&amp;title=Harkless%20%20Dunk%20(2%20PTS)%20(Leonard%202%20AST)", "Harkless  Dunk (2 PTS) (Leonard 2 AST)")</f>
        <v>Harkless  Dunk (2 PTS) (Leonard 2 AST)</v>
      </c>
      <c r="L1175" s="2" t="str">
        <f>HYPERLINK("https://www.nba.com/game/...-vs-...-0021500378/play-by-play?watchFullGame=true", "POR vs OKC - Q4 01:25.00")</f>
        <v>POR vs OKC - Q4 01:25.00</v>
      </c>
      <c r="M1175">
        <v>0</v>
      </c>
      <c r="N1175">
        <v>0</v>
      </c>
      <c r="O1175">
        <v>1</v>
      </c>
      <c r="P1175">
        <v>0</v>
      </c>
      <c r="Q1175">
        <v>1</v>
      </c>
      <c r="R1175" t="s">
        <v>0</v>
      </c>
      <c r="S1175" t="s">
        <v>0</v>
      </c>
      <c r="T1175" t="s">
        <v>0</v>
      </c>
    </row>
    <row r="1176" spans="1:20" x14ac:dyDescent="0.25">
      <c r="A1176">
        <v>21500439</v>
      </c>
      <c r="B1176" t="s">
        <v>4</v>
      </c>
      <c r="C1176" t="s">
        <v>5</v>
      </c>
      <c r="D1176">
        <v>75</v>
      </c>
      <c r="E1176">
        <v>81</v>
      </c>
      <c r="F1176">
        <v>6</v>
      </c>
      <c r="G1176">
        <v>4</v>
      </c>
      <c r="H1176" s="1">
        <v>2.7777777777777779E-3</v>
      </c>
      <c r="I1176">
        <v>2015</v>
      </c>
      <c r="J1176" t="s">
        <v>7</v>
      </c>
      <c r="K1176" s="2" t="str">
        <f>HYPERLINK("https://www.nba.com/stats/events?CFID=&amp;CFPARAMS=&amp;GameEventID=481&amp;GameID=0021500439&amp;Season=2015-16&amp;flag=1&amp;title=Duncan%203'%20Layup%20(11%20PTS)%20(Leonard%204%20AST)", "Duncan 3' Layup (11 PTS) (Leonard 4 AST)")</f>
        <v>Duncan 3' Layup (11 PTS) (Leonard 4 AST)</v>
      </c>
      <c r="L1176" s="2" t="str">
        <f>HYPERLINK("https://www.nba.com/game/...-vs-...-0021500439/play-by-play?watchFullGame=true", "SAS vs HOU - Q4 04:00.00")</f>
        <v>SAS vs HOU - Q4 04:00.00</v>
      </c>
      <c r="M1176">
        <v>3</v>
      </c>
      <c r="N1176">
        <v>25</v>
      </c>
      <c r="O1176">
        <v>7</v>
      </c>
      <c r="P1176">
        <v>25</v>
      </c>
      <c r="Q1176">
        <v>7</v>
      </c>
      <c r="R1176" t="s">
        <v>0</v>
      </c>
      <c r="S1176" t="s">
        <v>0</v>
      </c>
      <c r="T1176" t="s">
        <v>0</v>
      </c>
    </row>
    <row r="1177" spans="1:20" x14ac:dyDescent="0.25">
      <c r="A1177">
        <v>21500532</v>
      </c>
      <c r="B1177" t="s">
        <v>4</v>
      </c>
      <c r="C1177" t="s">
        <v>9</v>
      </c>
      <c r="D1177">
        <v>23</v>
      </c>
      <c r="E1177">
        <v>14</v>
      </c>
      <c r="F1177">
        <v>9</v>
      </c>
      <c r="G1177">
        <v>1</v>
      </c>
      <c r="H1177" s="1">
        <v>3.449074074074074E-3</v>
      </c>
      <c r="I1177">
        <v>2015</v>
      </c>
      <c r="J1177" t="s">
        <v>7</v>
      </c>
      <c r="K1177" s="2" t="str">
        <f>HYPERLINK("https://www.nba.com/stats/events?CFID=&amp;CFPARAMS=&amp;GameEventID=61&amp;GameID=0021500532&amp;Season=2015-16&amp;flag=1&amp;title=West%2019'%20Jump%20Shot%20(4%20PTS)%20(Leonard%202%20AST)", "West 19' Jump Shot (4 PTS) (Leonard 2 AST)")</f>
        <v>West 19' Jump Shot (4 PTS) (Leonard 2 AST)</v>
      </c>
      <c r="L1177" s="2" t="str">
        <f>HYPERLINK("https://www.nba.com/game/...-vs-...-0021500532/play-by-play?watchFullGame=true", "SAS vs UTA - Q1 04:58.00")</f>
        <v>SAS vs UTA - Q1 04:58.00</v>
      </c>
      <c r="M1177">
        <v>19</v>
      </c>
      <c r="N1177">
        <v>30</v>
      </c>
      <c r="O1177">
        <v>183</v>
      </c>
      <c r="P1177">
        <v>30</v>
      </c>
      <c r="Q1177">
        <v>183</v>
      </c>
      <c r="R1177" t="s">
        <v>0</v>
      </c>
      <c r="S1177" t="s">
        <v>0</v>
      </c>
      <c r="T1177" t="s">
        <v>0</v>
      </c>
    </row>
    <row r="1178" spans="1:20" x14ac:dyDescent="0.25">
      <c r="A1178">
        <v>21500596</v>
      </c>
      <c r="B1178" t="s">
        <v>4</v>
      </c>
      <c r="C1178" t="s">
        <v>5</v>
      </c>
      <c r="D1178">
        <v>35</v>
      </c>
      <c r="E1178">
        <v>28</v>
      </c>
      <c r="F1178">
        <v>7</v>
      </c>
      <c r="G1178">
        <v>2</v>
      </c>
      <c r="H1178" s="1">
        <v>6.2268518518518515E-3</v>
      </c>
      <c r="I1178">
        <v>2015</v>
      </c>
      <c r="J1178" t="s">
        <v>12</v>
      </c>
      <c r="K1178" s="2" t="str">
        <f>HYPERLINK("https://www.nba.com/stats/events?CFID=&amp;CFPARAMS=&amp;GameEventID=131&amp;GameID=0021500596&amp;Season=2015-16&amp;flag=1&amp;title=Davis%202'%20Layup%20(5%20PTS)%20(Leonard%201%20AST)", "Davis 2' Layup (5 PTS) (Leonard 1 AST)")</f>
        <v>Davis 2' Layup (5 PTS) (Leonard 1 AST)</v>
      </c>
      <c r="L1178" s="2" t="str">
        <f>HYPERLINK("https://www.nba.com/game/...-vs-...-0021500596/play-by-play?watchFullGame=true", "POR vs BKN - Q2 08:58.00")</f>
        <v>POR vs BKN - Q2 08:58.00</v>
      </c>
      <c r="M1178">
        <v>2</v>
      </c>
      <c r="N1178">
        <v>6</v>
      </c>
      <c r="O1178">
        <v>23</v>
      </c>
      <c r="P1178">
        <v>6</v>
      </c>
      <c r="Q1178">
        <v>23</v>
      </c>
      <c r="R1178" t="s">
        <v>0</v>
      </c>
      <c r="S1178" t="s">
        <v>0</v>
      </c>
      <c r="T1178" t="s">
        <v>0</v>
      </c>
    </row>
    <row r="1179" spans="1:20" x14ac:dyDescent="0.25">
      <c r="A1179">
        <v>21500662</v>
      </c>
      <c r="B1179" t="s">
        <v>10</v>
      </c>
      <c r="C1179" t="s">
        <v>9</v>
      </c>
      <c r="D1179">
        <v>108</v>
      </c>
      <c r="E1179">
        <v>89</v>
      </c>
      <c r="F1179">
        <v>19</v>
      </c>
      <c r="G1179">
        <v>4</v>
      </c>
      <c r="H1179" s="1">
        <v>5.8333333333333336E-3</v>
      </c>
      <c r="I1179">
        <v>2015</v>
      </c>
      <c r="J1179" t="s">
        <v>12</v>
      </c>
      <c r="K1179" s="2" t="str">
        <f>HYPERLINK("https://www.nba.com/stats/events?CFID=&amp;CFPARAMS=&amp;GameEventID=415&amp;GameID=0021500662&amp;Season=2015-16&amp;flag=1&amp;title=McCollum%2025'%203PT%20Jump%20Shot%20(24%20PTS)%20(Leonard%203%20AST)", "McCollum 25' 3PT Jump Shot (24 PTS) (Leonard 3 AST)")</f>
        <v>McCollum 25' 3PT Jump Shot (24 PTS) (Leonard 3 AST)</v>
      </c>
      <c r="L1179" s="2" t="str">
        <f>HYPERLINK("https://www.nba.com/game/...-vs-...-0021500662/play-by-play?watchFullGame=true", "POR vs LAL - Q4 08:24.00")</f>
        <v>POR vs LAL - Q4 08:24.00</v>
      </c>
      <c r="M1179">
        <v>25</v>
      </c>
      <c r="N1179">
        <v>145</v>
      </c>
      <c r="O1179">
        <v>203</v>
      </c>
      <c r="P1179">
        <v>145</v>
      </c>
      <c r="Q1179">
        <v>203</v>
      </c>
      <c r="R1179" t="s">
        <v>0</v>
      </c>
      <c r="S1179" t="s">
        <v>0</v>
      </c>
      <c r="T1179" t="s">
        <v>0</v>
      </c>
    </row>
    <row r="1180" spans="1:20" x14ac:dyDescent="0.25">
      <c r="A1180">
        <v>21500748</v>
      </c>
      <c r="B1180" t="s">
        <v>10</v>
      </c>
      <c r="C1180" t="s">
        <v>9</v>
      </c>
      <c r="D1180">
        <v>69</v>
      </c>
      <c r="E1180">
        <v>73</v>
      </c>
      <c r="F1180">
        <v>4</v>
      </c>
      <c r="G1180">
        <v>3</v>
      </c>
      <c r="H1180" s="1">
        <v>2.0138888888888888E-3</v>
      </c>
      <c r="I1180">
        <v>2015</v>
      </c>
      <c r="J1180" t="s">
        <v>12</v>
      </c>
      <c r="K1180" s="2" t="str">
        <f>HYPERLINK("https://www.nba.com/stats/events?CFID=&amp;CFPARAMS=&amp;GameEventID=347&amp;GameID=0021500748&amp;Season=2015-16&amp;flag=1&amp;title=Crabbe%2025'%203PT%20Jump%20Shot%20(11%20PTS)%20(Leonard%202%20AST)", "Crabbe 25' 3PT Jump Shot (11 PTS) (Leonard 2 AST)")</f>
        <v>Crabbe 25' 3PT Jump Shot (11 PTS) (Leonard 2 AST)</v>
      </c>
      <c r="L1180" s="2" t="str">
        <f>HYPERLINK("https://www.nba.com/game/...-vs-...-0021500748/play-by-play?watchFullGame=true", "POR vs TOR - Q3 02:54.00")</f>
        <v>POR vs TOR - Q3 02:54.00</v>
      </c>
      <c r="M1180">
        <v>25</v>
      </c>
      <c r="N1180">
        <v>28</v>
      </c>
      <c r="O1180">
        <v>249</v>
      </c>
      <c r="P1180">
        <v>28</v>
      </c>
      <c r="Q1180">
        <v>249</v>
      </c>
      <c r="R1180" t="s">
        <v>0</v>
      </c>
      <c r="S1180" t="s">
        <v>0</v>
      </c>
      <c r="T1180" t="s">
        <v>0</v>
      </c>
    </row>
    <row r="1181" spans="1:20" x14ac:dyDescent="0.25">
      <c r="A1181">
        <v>21500815</v>
      </c>
      <c r="B1181" t="s">
        <v>4</v>
      </c>
      <c r="C1181" t="s">
        <v>26</v>
      </c>
      <c r="D1181">
        <v>134</v>
      </c>
      <c r="E1181">
        <v>99</v>
      </c>
      <c r="F1181">
        <v>35</v>
      </c>
      <c r="G1181">
        <v>4</v>
      </c>
      <c r="H1181" s="1">
        <v>1.0648148148148149E-3</v>
      </c>
      <c r="I1181">
        <v>2015</v>
      </c>
      <c r="J1181" t="s">
        <v>12</v>
      </c>
      <c r="K1181" s="2" t="str">
        <f>HYPERLINK("https://www.nba.com/stats/events?CFID=&amp;CFPARAMS=&amp;GameEventID=549&amp;GameID=0021500815&amp;Season=2015-16&amp;flag=1&amp;title=Roberts%201'%20Reverse%20Layup%20(4%20PTS)%20(Leonard%202%20AST)", "Roberts 1' Reverse Layup (4 PTS) (Leonard 2 AST)")</f>
        <v>Roberts 1' Reverse Layup (4 PTS) (Leonard 2 AST)</v>
      </c>
      <c r="L1181" s="2" t="str">
        <f>HYPERLINK("https://www.nba.com/game/...-vs-...-0021500815/play-by-play?watchFullGame=true", "POR vs GSW - Q4 01:32.00")</f>
        <v>POR vs GSW - Q4 01:32.00</v>
      </c>
      <c r="M1181">
        <v>1</v>
      </c>
      <c r="N1181">
        <v>9</v>
      </c>
      <c r="O1181">
        <v>-1</v>
      </c>
      <c r="P1181">
        <v>9</v>
      </c>
      <c r="Q1181">
        <v>-1</v>
      </c>
      <c r="R1181" t="s">
        <v>0</v>
      </c>
      <c r="S1181" t="s">
        <v>0</v>
      </c>
      <c r="T1181" t="s">
        <v>0</v>
      </c>
    </row>
    <row r="1182" spans="1:20" x14ac:dyDescent="0.25">
      <c r="A1182">
        <v>21500905</v>
      </c>
      <c r="B1182" t="s">
        <v>4</v>
      </c>
      <c r="C1182" t="s">
        <v>9</v>
      </c>
      <c r="D1182">
        <v>89</v>
      </c>
      <c r="E1182">
        <v>74</v>
      </c>
      <c r="F1182">
        <v>15</v>
      </c>
      <c r="G1182">
        <v>4</v>
      </c>
      <c r="H1182" s="1">
        <v>3.9351851851851848E-3</v>
      </c>
      <c r="I1182">
        <v>2015</v>
      </c>
      <c r="J1182" t="s">
        <v>7</v>
      </c>
      <c r="K1182" s="2" t="str">
        <f>HYPERLINK("https://www.nba.com/stats/events?CFID=&amp;CFPARAMS=&amp;GameEventID=398&amp;GameID=0021500905&amp;Season=2015-16&amp;flag=1&amp;title=Aldridge%2018'%20Jump%20Shot%20(23%20PTS)%20(Leonard%205%20AST)", "Aldridge 18' Jump Shot (23 PTS) (Leonard 5 AST)")</f>
        <v>Aldridge 18' Jump Shot (23 PTS) (Leonard 5 AST)</v>
      </c>
      <c r="L1182" s="2" t="str">
        <f>HYPERLINK("https://www.nba.com/game/...-vs-...-0021500905/play-by-play?watchFullGame=true", "SAS vs DET - Q4 05:40.00")</f>
        <v>SAS vs DET - Q4 05:40.00</v>
      </c>
      <c r="M1182">
        <v>18</v>
      </c>
      <c r="N1182">
        <v>173</v>
      </c>
      <c r="O1182">
        <v>62</v>
      </c>
      <c r="P1182">
        <v>173</v>
      </c>
      <c r="Q1182">
        <v>62</v>
      </c>
      <c r="R1182" t="s">
        <v>0</v>
      </c>
      <c r="S1182" t="s">
        <v>0</v>
      </c>
      <c r="T1182" t="s">
        <v>0</v>
      </c>
    </row>
    <row r="1183" spans="1:20" x14ac:dyDescent="0.25">
      <c r="A1183">
        <v>21400314</v>
      </c>
      <c r="B1183" t="s">
        <v>4</v>
      </c>
      <c r="C1183" t="s">
        <v>5</v>
      </c>
      <c r="D1183">
        <v>86</v>
      </c>
      <c r="E1183">
        <v>93</v>
      </c>
      <c r="F1183">
        <v>7</v>
      </c>
      <c r="G1183">
        <v>4</v>
      </c>
      <c r="H1183" s="1">
        <v>1.9560185185185184E-3</v>
      </c>
      <c r="I1183">
        <v>2014</v>
      </c>
      <c r="J1183" t="s">
        <v>7</v>
      </c>
      <c r="K1183" s="2" t="str">
        <f>HYPERLINK("https://www.nba.com/stats/events?CFID=&amp;CFPARAMS=&amp;GameEventID=446&amp;GameID=0021400314&amp;Season=2014-15&amp;flag=1&amp;title=Green%201'%20Layup%20(13%20PTS)%20(Leonard%205%20AST)", "Green 1' Layup (13 PTS) (Leonard 5 AST)")</f>
        <v>Green 1' Layup (13 PTS) (Leonard 5 AST)</v>
      </c>
      <c r="L1183" s="2" t="str">
        <f>HYPERLINK("https://www.nba.com/game/...-vs-...-0021400314/play-by-play?watchFullGame=true", "SAS vs UTA - Q4 02:49.00")</f>
        <v>SAS vs UTA - Q4 02:49.00</v>
      </c>
      <c r="M1183">
        <v>1</v>
      </c>
      <c r="N1183">
        <v>-11</v>
      </c>
      <c r="O1183">
        <v>3</v>
      </c>
      <c r="P1183">
        <v>-11</v>
      </c>
      <c r="Q1183">
        <v>3</v>
      </c>
      <c r="R1183" t="s">
        <v>0</v>
      </c>
      <c r="S1183" t="s">
        <v>0</v>
      </c>
      <c r="T1183" t="s">
        <v>0</v>
      </c>
    </row>
    <row r="1184" spans="1:20" x14ac:dyDescent="0.25">
      <c r="A1184">
        <v>21400757</v>
      </c>
      <c r="B1184" t="s">
        <v>4</v>
      </c>
      <c r="C1184" t="s">
        <v>5</v>
      </c>
      <c r="D1184">
        <v>30</v>
      </c>
      <c r="E1184">
        <v>17</v>
      </c>
      <c r="F1184">
        <v>13</v>
      </c>
      <c r="G1184">
        <v>1</v>
      </c>
      <c r="H1184" s="1">
        <v>1.7592592592592592E-4</v>
      </c>
      <c r="I1184">
        <v>2014</v>
      </c>
      <c r="J1184" t="s">
        <v>7</v>
      </c>
      <c r="K1184" s="2" t="str">
        <f>HYPERLINK("https://www.nba.com/stats/events?CFID=&amp;CFPARAMS=&amp;GameEventID=102&amp;GameID=0021400757&amp;Season=2014-15&amp;flag=1&amp;title=Mills%201'%20Layup%20(2%20PTS)%20(Leonard%201%20AST)", "Mills 1' Layup (2 PTS) (Leonard 1 AST)")</f>
        <v>Mills 1' Layup (2 PTS) (Leonard 1 AST)</v>
      </c>
      <c r="L1184" s="2" t="str">
        <f>HYPERLINK("https://www.nba.com/game/...-vs-...-0021400757/play-by-play?watchFullGame=true", "SAS vs MIA - Q1 00:15.20")</f>
        <v>SAS vs MIA - Q1 00:15.20</v>
      </c>
      <c r="M1184">
        <v>1</v>
      </c>
      <c r="N1184">
        <v>9</v>
      </c>
      <c r="O1184">
        <v>11</v>
      </c>
      <c r="P1184">
        <v>9</v>
      </c>
      <c r="Q1184">
        <v>11</v>
      </c>
      <c r="R1184" t="s">
        <v>0</v>
      </c>
      <c r="S1184" t="s">
        <v>0</v>
      </c>
      <c r="T1184" t="s">
        <v>0</v>
      </c>
    </row>
    <row r="1185" spans="1:20" x14ac:dyDescent="0.25">
      <c r="A1185">
        <v>21400853</v>
      </c>
      <c r="B1185" t="s">
        <v>4</v>
      </c>
      <c r="C1185" t="s">
        <v>26</v>
      </c>
      <c r="D1185">
        <v>48</v>
      </c>
      <c r="E1185">
        <v>48</v>
      </c>
      <c r="F1185">
        <v>0</v>
      </c>
      <c r="G1185">
        <v>2</v>
      </c>
      <c r="H1185" s="1">
        <v>1.261574074074074E-3</v>
      </c>
      <c r="I1185">
        <v>2014</v>
      </c>
      <c r="J1185" t="s">
        <v>7</v>
      </c>
      <c r="K1185" s="2" t="str">
        <f>HYPERLINK("https://www.nba.com/stats/events?CFID=&amp;CFPARAMS=&amp;GameEventID=183&amp;GameID=0021400853&amp;Season=2014-15&amp;flag=1&amp;title=Baynes%201'%20Reverse%20Layup%20(4%20PTS)%20(Leonard%203%20AST)", "Baynes 1' Reverse Layup (4 PTS) (Leonard 3 AST)")</f>
        <v>Baynes 1' Reverse Layup (4 PTS) (Leonard 3 AST)</v>
      </c>
      <c r="L1185" s="2" t="str">
        <f>HYPERLINK("https://www.nba.com/game/...-vs-...-0021400853/play-by-play?watchFullGame=true", "SAS vs POR - Q2 01:49.00")</f>
        <v>SAS vs POR - Q2 01:49.00</v>
      </c>
      <c r="M1185">
        <v>1</v>
      </c>
      <c r="N1185">
        <v>-10</v>
      </c>
      <c r="O1185">
        <v>-2</v>
      </c>
      <c r="P1185">
        <v>-10</v>
      </c>
      <c r="Q1185">
        <v>-2</v>
      </c>
      <c r="R1185" t="s">
        <v>0</v>
      </c>
      <c r="S1185" t="s">
        <v>0</v>
      </c>
      <c r="T1185" t="s">
        <v>0</v>
      </c>
    </row>
    <row r="1186" spans="1:20" x14ac:dyDescent="0.25">
      <c r="A1186">
        <v>21400964</v>
      </c>
      <c r="B1186" t="s">
        <v>4</v>
      </c>
      <c r="C1186" t="s">
        <v>22</v>
      </c>
      <c r="D1186">
        <v>11</v>
      </c>
      <c r="E1186">
        <v>10</v>
      </c>
      <c r="F1186">
        <v>1</v>
      </c>
      <c r="G1186">
        <v>1</v>
      </c>
      <c r="H1186" s="1">
        <v>6.145833333333333E-3</v>
      </c>
      <c r="I1186">
        <v>2014</v>
      </c>
      <c r="J1186" t="s">
        <v>7</v>
      </c>
      <c r="K1186" s="2" t="str">
        <f>HYPERLINK("https://www.nba.com/stats/events?CFID=&amp;CFPARAMS=&amp;GameEventID=20&amp;GameID=0021400964&amp;Season=2014-15&amp;flag=1&amp;title=Green%2016'%20Jump%20Bank%20Shot%20(5%20PTS)%20(Leonard%201%20AST)", "Green 16' Jump Bank Shot (5 PTS) (Leonard 1 AST)")</f>
        <v>Green 16' Jump Bank Shot (5 PTS) (Leonard 1 AST)</v>
      </c>
      <c r="L1186" s="2" t="str">
        <f>HYPERLINK("https://www.nba.com/game/...-vs-...-0021400964/play-by-play?watchFullGame=true", "SAS vs CLE - Q1 08:51.00")</f>
        <v>SAS vs CLE - Q1 08:51.00</v>
      </c>
      <c r="M1186">
        <v>16</v>
      </c>
      <c r="N1186">
        <v>-147</v>
      </c>
      <c r="O1186">
        <v>63</v>
      </c>
      <c r="P1186">
        <v>-147</v>
      </c>
      <c r="Q1186">
        <v>63</v>
      </c>
      <c r="R1186" t="s">
        <v>0</v>
      </c>
      <c r="S1186" t="s">
        <v>0</v>
      </c>
      <c r="T1186" t="s">
        <v>0</v>
      </c>
    </row>
    <row r="1187" spans="1:20" x14ac:dyDescent="0.25">
      <c r="A1187">
        <v>21401071</v>
      </c>
      <c r="B1187" t="s">
        <v>10</v>
      </c>
      <c r="C1187" t="s">
        <v>9</v>
      </c>
      <c r="D1187">
        <v>11</v>
      </c>
      <c r="E1187">
        <v>8</v>
      </c>
      <c r="F1187">
        <v>3</v>
      </c>
      <c r="G1187">
        <v>1</v>
      </c>
      <c r="H1187" s="1">
        <v>5.347222222222222E-3</v>
      </c>
      <c r="I1187">
        <v>2014</v>
      </c>
      <c r="J1187" t="s">
        <v>7</v>
      </c>
      <c r="K1187" s="2" t="str">
        <f>HYPERLINK("https://www.nba.com/stats/events?CFID=&amp;CFPARAMS=&amp;GameEventID=30&amp;GameID=0021401071&amp;Season=2014-15&amp;flag=1&amp;title=Green%2025'%203PT%20Jump%20Shot%20(5%20PTS)%20(Leonard%202%20AST)", "Green 25' 3PT Jump Shot (5 PTS) (Leonard 2 AST)")</f>
        <v>Green 25' 3PT Jump Shot (5 PTS) (Leonard 2 AST)</v>
      </c>
      <c r="L1187" s="2" t="str">
        <f>HYPERLINK("https://www.nba.com/game/...-vs-...-0021401071/play-by-play?watchFullGame=true", "SAS vs OKC - Q1 07:42.00")</f>
        <v>SAS vs OKC - Q1 07:42.00</v>
      </c>
      <c r="M1187">
        <v>25</v>
      </c>
      <c r="N1187">
        <v>155</v>
      </c>
      <c r="O1187">
        <v>195</v>
      </c>
      <c r="P1187">
        <v>155</v>
      </c>
      <c r="Q1187">
        <v>195</v>
      </c>
      <c r="R1187" t="s">
        <v>0</v>
      </c>
      <c r="S1187" t="s">
        <v>0</v>
      </c>
      <c r="T1187" t="s">
        <v>0</v>
      </c>
    </row>
    <row r="1188" spans="1:20" x14ac:dyDescent="0.25">
      <c r="A1188">
        <v>21401110</v>
      </c>
      <c r="B1188" t="s">
        <v>4</v>
      </c>
      <c r="C1188" t="s">
        <v>5</v>
      </c>
      <c r="D1188">
        <v>81</v>
      </c>
      <c r="E1188">
        <v>62</v>
      </c>
      <c r="F1188">
        <v>19</v>
      </c>
      <c r="G1188">
        <v>4</v>
      </c>
      <c r="H1188" s="1">
        <v>5.2314814814814811E-3</v>
      </c>
      <c r="I1188">
        <v>2014</v>
      </c>
      <c r="J1188" t="s">
        <v>7</v>
      </c>
      <c r="K1188" s="2" t="str">
        <f>HYPERLINK("https://www.nba.com/stats/events?CFID=&amp;CFPARAMS=&amp;GameEventID=403&amp;GameID=0021401110&amp;Season=2014-15&amp;flag=1&amp;title=Joseph%202'%20Layup%20(4%20PTS)%20(Leonard%203%20AST)", "Joseph 2' Layup (4 PTS) (Leonard 3 AST)")</f>
        <v>Joseph 2' Layup (4 PTS) (Leonard 3 AST)</v>
      </c>
      <c r="L1188" s="2" t="str">
        <f>HYPERLINK("https://www.nba.com/game/...-vs-...-0021401110/play-by-play?watchFullGame=true", "SAS vs MIA - Q4 07:32.00")</f>
        <v>SAS vs MIA - Q4 07:32.00</v>
      </c>
      <c r="M1188">
        <v>2</v>
      </c>
      <c r="N1188">
        <v>1</v>
      </c>
      <c r="O1188">
        <v>20</v>
      </c>
      <c r="P1188">
        <v>1</v>
      </c>
      <c r="Q1188">
        <v>20</v>
      </c>
      <c r="R1188" t="s">
        <v>0</v>
      </c>
      <c r="S1188" t="s">
        <v>0</v>
      </c>
      <c r="T1188" t="s">
        <v>0</v>
      </c>
    </row>
    <row r="1189" spans="1:20" x14ac:dyDescent="0.25">
      <c r="A1189">
        <v>21401134</v>
      </c>
      <c r="B1189" t="s">
        <v>10</v>
      </c>
      <c r="C1189" t="s">
        <v>19</v>
      </c>
      <c r="D1189">
        <v>75</v>
      </c>
      <c r="E1189">
        <v>50</v>
      </c>
      <c r="F1189">
        <v>25</v>
      </c>
      <c r="G1189">
        <v>3</v>
      </c>
      <c r="H1189" s="1">
        <v>6.8055555555555551E-3</v>
      </c>
      <c r="I1189">
        <v>2014</v>
      </c>
      <c r="J1189" t="s">
        <v>7</v>
      </c>
      <c r="K1189" s="2" t="str">
        <f>HYPERLINK("https://www.nba.com/stats/events?CFID=&amp;CFPARAMS=&amp;GameEventID=251&amp;GameID=0021401134&amp;Season=2014-15&amp;flag=1&amp;title=Green%2026'%203PT%20Pullup%20Jump%20Shot%20(20%20PTS)%20(Leonard%203%20AST)", "Green 26' 3PT Pullup Jump Shot (20 PTS) (Leonard 3 AST)")</f>
        <v>Green 26' 3PT Pullup Jump Shot (20 PTS) (Leonard 3 AST)</v>
      </c>
      <c r="L1189" s="2" t="str">
        <f>HYPERLINK("https://www.nba.com/game/...-vs-...-0021401134/play-by-play?watchFullGame=true", "SAS vs DEN - Q3 09:48.00")</f>
        <v>SAS vs DEN - Q3 09:48.00</v>
      </c>
      <c r="M1189">
        <v>26</v>
      </c>
      <c r="N1189">
        <v>206</v>
      </c>
      <c r="O1189">
        <v>153</v>
      </c>
      <c r="P1189">
        <v>206</v>
      </c>
      <c r="Q1189">
        <v>153</v>
      </c>
      <c r="R1189" t="s">
        <v>0</v>
      </c>
      <c r="S1189" t="s">
        <v>0</v>
      </c>
      <c r="T1189" t="s">
        <v>0</v>
      </c>
    </row>
    <row r="1190" spans="1:20" x14ac:dyDescent="0.25">
      <c r="A1190">
        <v>21500028</v>
      </c>
      <c r="B1190" t="s">
        <v>4</v>
      </c>
      <c r="C1190" t="s">
        <v>9</v>
      </c>
      <c r="D1190">
        <v>15</v>
      </c>
      <c r="E1190">
        <v>7</v>
      </c>
      <c r="F1190">
        <v>8</v>
      </c>
      <c r="G1190">
        <v>1</v>
      </c>
      <c r="H1190" s="1">
        <v>4.0856481481481481E-3</v>
      </c>
      <c r="I1190">
        <v>2015</v>
      </c>
      <c r="J1190" t="s">
        <v>7</v>
      </c>
      <c r="K1190" s="2" t="str">
        <f>HYPERLINK("https://www.nba.com/stats/events?CFID=&amp;CFPARAMS=&amp;GameEventID=55&amp;GameID=0021500028&amp;Season=2015-16&amp;flag=1&amp;title=Duncan%2020'%20Jump%20Shot%20(6%20PTS)%20(Leonard%201%20AST)", "Duncan 20' Jump Shot (6 PTS) (Leonard 1 AST)")</f>
        <v>Duncan 20' Jump Shot (6 PTS) (Leonard 1 AST)</v>
      </c>
      <c r="L1190" s="2" t="str">
        <f>HYPERLINK("https://www.nba.com/game/...-vs-...-0021500028/play-by-play?watchFullGame=true", "SAS vs BKN - Q1 05:53.00")</f>
        <v>SAS vs BKN - Q1 05:53.00</v>
      </c>
      <c r="M1190">
        <v>20</v>
      </c>
      <c r="N1190">
        <v>38</v>
      </c>
      <c r="O1190">
        <v>193</v>
      </c>
      <c r="P1190">
        <v>38</v>
      </c>
      <c r="Q1190">
        <v>193</v>
      </c>
      <c r="R1190" t="s">
        <v>0</v>
      </c>
      <c r="S1190" t="s">
        <v>0</v>
      </c>
      <c r="T1190" t="s">
        <v>0</v>
      </c>
    </row>
    <row r="1191" spans="1:20" x14ac:dyDescent="0.25">
      <c r="A1191">
        <v>21401071</v>
      </c>
      <c r="B1191" t="s">
        <v>4</v>
      </c>
      <c r="C1191" t="s">
        <v>23</v>
      </c>
      <c r="D1191">
        <v>8</v>
      </c>
      <c r="E1191">
        <v>8</v>
      </c>
      <c r="F1191">
        <v>0</v>
      </c>
      <c r="G1191">
        <v>1</v>
      </c>
      <c r="H1191" s="1">
        <v>5.7175925925925927E-3</v>
      </c>
      <c r="I1191">
        <v>2014</v>
      </c>
      <c r="J1191" t="s">
        <v>7</v>
      </c>
      <c r="K1191" s="2" t="str">
        <f>HYPERLINK("https://www.nba.com/stats/events?CFID=&amp;CFPARAMS=&amp;GameEventID=25&amp;GameID=0021401071&amp;Season=2014-15&amp;flag=1&amp;title=Parker%201'%20Driving%20Layup%20(4%20PTS)%20(Leonard%201%20AST)", "Parker 1' Driving Layup (4 PTS) (Leonard 1 AST)")</f>
        <v>Parker 1' Driving Layup (4 PTS) (Leonard 1 AST)</v>
      </c>
      <c r="L1191" s="2" t="str">
        <f>HYPERLINK("https://www.nba.com/game/...-vs-...-0021401071/play-by-play?watchFullGame=true", "SAS vs OKC - Q1 08:14.00")</f>
        <v>SAS vs OKC - Q1 08:14.00</v>
      </c>
      <c r="M1191">
        <v>1</v>
      </c>
      <c r="N1191">
        <v>7</v>
      </c>
      <c r="O1191">
        <v>9</v>
      </c>
      <c r="P1191">
        <v>7</v>
      </c>
      <c r="Q1191">
        <v>9</v>
      </c>
      <c r="R1191" t="s">
        <v>0</v>
      </c>
      <c r="S1191" t="s">
        <v>0</v>
      </c>
      <c r="T1191" t="s">
        <v>0</v>
      </c>
    </row>
    <row r="1192" spans="1:20" x14ac:dyDescent="0.25">
      <c r="A1192">
        <v>21401209</v>
      </c>
      <c r="B1192" t="s">
        <v>4</v>
      </c>
      <c r="C1192" t="s">
        <v>18</v>
      </c>
      <c r="D1192">
        <v>28</v>
      </c>
      <c r="E1192">
        <v>42</v>
      </c>
      <c r="F1192">
        <v>14</v>
      </c>
      <c r="G1192">
        <v>2</v>
      </c>
      <c r="H1192" s="1">
        <v>4.8495370370370368E-3</v>
      </c>
      <c r="I1192">
        <v>2014</v>
      </c>
      <c r="J1192" t="s">
        <v>12</v>
      </c>
      <c r="K1192" s="2" t="str">
        <f>HYPERLINK("https://www.nba.com/stats/events?CFID=&amp;CFPARAMS=&amp;GameEventID=180&amp;GameID=0021401209&amp;Season=2014-15&amp;flag=1&amp;title=Lopez%204'%20Hook%20Shot%20(2%20PTS)%20(Leonard%201%20AST)", "Lopez 4' Hook Shot (2 PTS) (Leonard 1 AST)")</f>
        <v>Lopez 4' Hook Shot (2 PTS) (Leonard 1 AST)</v>
      </c>
      <c r="L1192" s="2" t="str">
        <f>HYPERLINK("https://www.nba.com/game/...-vs-...-0021401209/play-by-play?watchFullGame=true", "POR vs OKC - Q2 06:59.00")</f>
        <v>POR vs OKC - Q2 06:59.00</v>
      </c>
      <c r="M1192">
        <v>4</v>
      </c>
      <c r="N1192">
        <v>6</v>
      </c>
      <c r="O1192">
        <v>39</v>
      </c>
      <c r="P1192">
        <v>6</v>
      </c>
      <c r="Q1192">
        <v>39</v>
      </c>
      <c r="R1192" t="s">
        <v>0</v>
      </c>
      <c r="S1192" t="s">
        <v>0</v>
      </c>
      <c r="T1192" t="s">
        <v>0</v>
      </c>
    </row>
    <row r="1193" spans="1:20" x14ac:dyDescent="0.25">
      <c r="A1193">
        <v>21500172</v>
      </c>
      <c r="B1193" t="s">
        <v>4</v>
      </c>
      <c r="C1193" t="s">
        <v>9</v>
      </c>
      <c r="D1193">
        <v>56</v>
      </c>
      <c r="E1193">
        <v>44</v>
      </c>
      <c r="F1193">
        <v>12</v>
      </c>
      <c r="G1193">
        <v>2</v>
      </c>
      <c r="H1193" s="1">
        <v>2.8935185185185184E-3</v>
      </c>
      <c r="I1193">
        <v>2015</v>
      </c>
      <c r="J1193" t="s">
        <v>7</v>
      </c>
      <c r="K1193" s="2" t="str">
        <f>HYPERLINK("https://www.nba.com/stats/events?CFID=&amp;CFPARAMS=&amp;GameEventID=213&amp;GameID=0021500172&amp;Season=2015-16&amp;flag=1&amp;title=Duncan%2017'%20Jump%20Shot%20(8%20PTS)%20(Leonard%201%20AST)", "Duncan 17' Jump Shot (8 PTS) (Leonard 1 AST)")</f>
        <v>Duncan 17' Jump Shot (8 PTS) (Leonard 1 AST)</v>
      </c>
      <c r="L1193" s="2" t="str">
        <f>HYPERLINK("https://www.nba.com/game/...-vs-...-0021500172/play-by-play?watchFullGame=true", "SAS vs DEN - Q2 04:10.00")</f>
        <v>SAS vs DEN - Q2 04:10.00</v>
      </c>
      <c r="M1193">
        <v>17</v>
      </c>
      <c r="N1193">
        <v>35</v>
      </c>
      <c r="O1193">
        <v>170</v>
      </c>
      <c r="P1193">
        <v>35</v>
      </c>
      <c r="Q1193">
        <v>170</v>
      </c>
      <c r="R1193" t="s">
        <v>0</v>
      </c>
      <c r="S1193" t="s">
        <v>0</v>
      </c>
      <c r="T1193" t="s">
        <v>0</v>
      </c>
    </row>
    <row r="1194" spans="1:20" x14ac:dyDescent="0.25">
      <c r="A1194">
        <v>21500257</v>
      </c>
      <c r="B1194" t="s">
        <v>4</v>
      </c>
      <c r="C1194" t="s">
        <v>38</v>
      </c>
      <c r="D1194">
        <v>6</v>
      </c>
      <c r="E1194">
        <v>4</v>
      </c>
      <c r="F1194">
        <v>2</v>
      </c>
      <c r="G1194">
        <v>1</v>
      </c>
      <c r="H1194" s="1">
        <v>7.0254629629629634E-3</v>
      </c>
      <c r="I1194">
        <v>2015</v>
      </c>
      <c r="J1194" t="s">
        <v>7</v>
      </c>
      <c r="K1194" s="2" t="str">
        <f>HYPERLINK("https://www.nba.com/stats/events?CFID=&amp;CFPARAMS=&amp;GameEventID=12&amp;GameID=0021500257&amp;Season=2015-16&amp;flag=1&amp;title=Duncan%20%20Dunk%20(2%20PTS)%20(Leonard%201%20AST)", "Duncan  Dunk (2 PTS) (Leonard 1 AST)")</f>
        <v>Duncan  Dunk (2 PTS) (Leonard 1 AST)</v>
      </c>
      <c r="L1194" s="2" t="str">
        <f>HYPERLINK("https://www.nba.com/game/...-vs-...-0021500257/play-by-play?watchFullGame=true", "SAS vs CHI - Q1 10:07.00")</f>
        <v>SAS vs CHI - Q1 10:07.00</v>
      </c>
      <c r="M1194">
        <v>0</v>
      </c>
      <c r="N1194">
        <v>0</v>
      </c>
      <c r="O1194">
        <v>1</v>
      </c>
      <c r="P1194">
        <v>0</v>
      </c>
      <c r="Q1194">
        <v>1</v>
      </c>
      <c r="R1194" t="s">
        <v>0</v>
      </c>
      <c r="S1194" t="s">
        <v>0</v>
      </c>
      <c r="T1194" t="s">
        <v>0</v>
      </c>
    </row>
    <row r="1195" spans="1:20" x14ac:dyDescent="0.25">
      <c r="A1195">
        <v>21500379</v>
      </c>
      <c r="B1195" t="s">
        <v>10</v>
      </c>
      <c r="C1195" t="s">
        <v>9</v>
      </c>
      <c r="D1195">
        <v>86</v>
      </c>
      <c r="E1195">
        <v>71</v>
      </c>
      <c r="F1195">
        <v>15</v>
      </c>
      <c r="G1195">
        <v>3</v>
      </c>
      <c r="H1195" s="1">
        <v>1.7361111111111111E-5</v>
      </c>
      <c r="I1195">
        <v>2015</v>
      </c>
      <c r="J1195" t="s">
        <v>7</v>
      </c>
      <c r="K1195" s="2" t="str">
        <f>HYPERLINK("https://www.nba.com/stats/events?CFID=&amp;CFPARAMS=&amp;GameEventID=398&amp;GameID=0021500379&amp;Season=2015-16&amp;flag=1&amp;title=Ginobili%2024'%203PT%20Jump%20Shot%20(11%20PTS)%20(Leonard%204%20AST)", "Ginobili 24' 3PT Jump Shot (11 PTS) (Leonard 4 AST)")</f>
        <v>Ginobili 24' 3PT Jump Shot (11 PTS) (Leonard 4 AST)</v>
      </c>
      <c r="L1195" s="2" t="str">
        <f>HYPERLINK("https://www.nba.com/game/...-vs-...-0021500379/play-by-play?watchFullGame=true", "SAS vs WAS - Q3 00:01.50")</f>
        <v>SAS vs WAS - Q3 00:01.50</v>
      </c>
      <c r="M1195">
        <v>24</v>
      </c>
      <c r="N1195">
        <v>223</v>
      </c>
      <c r="O1195">
        <v>101</v>
      </c>
      <c r="P1195">
        <v>223</v>
      </c>
      <c r="Q1195">
        <v>101</v>
      </c>
      <c r="R1195" t="s">
        <v>0</v>
      </c>
      <c r="S1195" t="s">
        <v>0</v>
      </c>
      <c r="T1195" t="s">
        <v>0</v>
      </c>
    </row>
    <row r="1196" spans="1:20" x14ac:dyDescent="0.25">
      <c r="A1196">
        <v>21500439</v>
      </c>
      <c r="B1196" t="s">
        <v>4</v>
      </c>
      <c r="C1196" t="s">
        <v>9</v>
      </c>
      <c r="D1196">
        <v>47</v>
      </c>
      <c r="E1196">
        <v>43</v>
      </c>
      <c r="F1196">
        <v>4</v>
      </c>
      <c r="G1196">
        <v>3</v>
      </c>
      <c r="H1196" s="1">
        <v>6.7824074074074071E-3</v>
      </c>
      <c r="I1196">
        <v>2015</v>
      </c>
      <c r="J1196" t="s">
        <v>7</v>
      </c>
      <c r="K1196" s="2" t="str">
        <f>HYPERLINK("https://www.nba.com/stats/events?CFID=&amp;CFPARAMS=&amp;GameEventID=269&amp;GameID=0021500439&amp;Season=2015-16&amp;flag=1&amp;title=Duncan%2018'%20Jump%20Shot%20(3%20PTS)%20(Leonard%202%20AST)", "Duncan 18' Jump Shot (3 PTS) (Leonard 2 AST)")</f>
        <v>Duncan 18' Jump Shot (3 PTS) (Leonard 2 AST)</v>
      </c>
      <c r="L1196" s="2" t="str">
        <f>HYPERLINK("https://www.nba.com/game/...-vs-...-0021500439/play-by-play?watchFullGame=true", "SAS vs HOU - Q3 09:46.00")</f>
        <v>SAS vs HOU - Q3 09:46.00</v>
      </c>
      <c r="M1196">
        <v>18</v>
      </c>
      <c r="N1196">
        <v>101</v>
      </c>
      <c r="O1196">
        <v>154</v>
      </c>
      <c r="P1196">
        <v>101</v>
      </c>
      <c r="Q1196">
        <v>154</v>
      </c>
      <c r="R1196" t="s">
        <v>0</v>
      </c>
      <c r="S1196" t="s">
        <v>0</v>
      </c>
      <c r="T1196" t="s">
        <v>0</v>
      </c>
    </row>
    <row r="1197" spans="1:20" x14ac:dyDescent="0.25">
      <c r="A1197">
        <v>21500982</v>
      </c>
      <c r="B1197" t="s">
        <v>4</v>
      </c>
      <c r="C1197" t="s">
        <v>19</v>
      </c>
      <c r="D1197">
        <v>37</v>
      </c>
      <c r="E1197">
        <v>26</v>
      </c>
      <c r="F1197">
        <v>11</v>
      </c>
      <c r="G1197">
        <v>2</v>
      </c>
      <c r="H1197" s="1">
        <v>6.2384259259259259E-3</v>
      </c>
      <c r="I1197">
        <v>2015</v>
      </c>
      <c r="J1197" t="s">
        <v>12</v>
      </c>
      <c r="K1197" s="2" t="str">
        <f>HYPERLINK("https://www.nba.com/stats/events?CFID=&amp;CFPARAMS=&amp;GameEventID=131&amp;GameID=0021500982&amp;Season=2015-16&amp;flag=1&amp;title=Crabbe%2015'%20Pullup%20Jump%20Shot%20(8%20PTS)%20(Leonard%203%20AST)", "Crabbe 15' Pullup Jump Shot (8 PTS) (Leonard 3 AST)")</f>
        <v>Crabbe 15' Pullup Jump Shot (8 PTS) (Leonard 3 AST)</v>
      </c>
      <c r="L1197" s="2" t="str">
        <f>HYPERLINK("https://www.nba.com/game/...-vs-...-0021500982/play-by-play?watchFullGame=true", "POR vs ORL - Q2 08:59.00")</f>
        <v>POR vs ORL - Q2 08:59.00</v>
      </c>
      <c r="M1197">
        <v>15</v>
      </c>
      <c r="N1197">
        <v>-151</v>
      </c>
      <c r="O1197">
        <v>11</v>
      </c>
      <c r="P1197">
        <v>-151</v>
      </c>
      <c r="Q1197">
        <v>11</v>
      </c>
      <c r="R1197" t="s">
        <v>0</v>
      </c>
      <c r="S1197" t="s">
        <v>0</v>
      </c>
      <c r="T1197" t="s">
        <v>0</v>
      </c>
    </row>
    <row r="1198" spans="1:20" x14ac:dyDescent="0.25">
      <c r="A1198">
        <v>21501201</v>
      </c>
      <c r="B1198" t="s">
        <v>10</v>
      </c>
      <c r="C1198" t="s">
        <v>9</v>
      </c>
      <c r="D1198">
        <v>22</v>
      </c>
      <c r="E1198">
        <v>14</v>
      </c>
      <c r="F1198">
        <v>8</v>
      </c>
      <c r="G1198">
        <v>2</v>
      </c>
      <c r="H1198" s="1">
        <v>7.9629629629629634E-3</v>
      </c>
      <c r="I1198">
        <v>2015</v>
      </c>
      <c r="J1198" t="s">
        <v>7</v>
      </c>
      <c r="K1198" s="2" t="str">
        <f>HYPERLINK("https://www.nba.com/stats/events?CFID=&amp;CFPARAMS=&amp;GameEventID=139&amp;GameID=0021501201&amp;Season=2015-16&amp;flag=1&amp;title=Ginobili%2024'%203PT%20Jump%20Shot%20(5%20PTS)%20(Leonard%201%20AST)", "Ginobili 24' 3PT Jump Shot (5 PTS) (Leonard 1 AST)")</f>
        <v>Ginobili 24' 3PT Jump Shot (5 PTS) (Leonard 1 AST)</v>
      </c>
      <c r="L1198" s="2" t="str">
        <f>HYPERLINK("https://www.nba.com/game/...-vs-...-0021501201/play-by-play?watchFullGame=true", "SAS vs GSW - Q2 11:28.00")</f>
        <v>SAS vs GSW - Q2 11:28.00</v>
      </c>
      <c r="M1198">
        <v>24</v>
      </c>
      <c r="N1198">
        <v>46</v>
      </c>
      <c r="O1198">
        <v>237</v>
      </c>
      <c r="P1198">
        <v>46</v>
      </c>
      <c r="Q1198">
        <v>237</v>
      </c>
      <c r="R1198" t="s">
        <v>0</v>
      </c>
      <c r="S1198" t="s">
        <v>0</v>
      </c>
      <c r="T1198" t="s">
        <v>0</v>
      </c>
    </row>
    <row r="1199" spans="1:20" x14ac:dyDescent="0.25">
      <c r="A1199">
        <v>21400624</v>
      </c>
      <c r="B1199" t="s">
        <v>4</v>
      </c>
      <c r="C1199" t="s">
        <v>9</v>
      </c>
      <c r="D1199">
        <v>14</v>
      </c>
      <c r="E1199">
        <v>14</v>
      </c>
      <c r="F1199">
        <v>0</v>
      </c>
      <c r="G1199">
        <v>1</v>
      </c>
      <c r="H1199" s="1">
        <v>1.7476851851851852E-3</v>
      </c>
      <c r="I1199">
        <v>2014</v>
      </c>
      <c r="J1199" t="s">
        <v>7</v>
      </c>
      <c r="K1199" s="2" t="str">
        <f>HYPERLINK("https://www.nba.com/stats/events?CFID=&amp;CFPARAMS=&amp;GameEventID=104&amp;GameID=0021400624&amp;Season=2014-15&amp;flag=1&amp;title=Diaw%203'%20Jump%20Shot%20(2%20PTS)%20(Leonard%201%20AST)", "Diaw 3' Jump Shot (2 PTS) (Leonard 1 AST)")</f>
        <v>Diaw 3' Jump Shot (2 PTS) (Leonard 1 AST)</v>
      </c>
      <c r="L1199" s="2" t="str">
        <f>HYPERLINK("https://www.nba.com/game/...-vs-...-0021400624/play-by-play?watchFullGame=true", "SAS vs DEN - Q1 02:31.00")</f>
        <v>SAS vs DEN - Q1 02:31.00</v>
      </c>
      <c r="M1199">
        <v>3</v>
      </c>
      <c r="N1199">
        <v>32</v>
      </c>
      <c r="O1199">
        <v>-3</v>
      </c>
      <c r="P1199">
        <v>32</v>
      </c>
      <c r="Q1199">
        <v>-3</v>
      </c>
      <c r="R1199" t="s">
        <v>0</v>
      </c>
      <c r="S1199" t="s">
        <v>0</v>
      </c>
      <c r="T1199" t="s">
        <v>0</v>
      </c>
    </row>
    <row r="1200" spans="1:20" x14ac:dyDescent="0.25">
      <c r="A1200">
        <v>21400802</v>
      </c>
      <c r="B1200" t="s">
        <v>4</v>
      </c>
      <c r="C1200" t="s">
        <v>52</v>
      </c>
      <c r="D1200">
        <v>34</v>
      </c>
      <c r="E1200">
        <v>35</v>
      </c>
      <c r="F1200">
        <v>1</v>
      </c>
      <c r="G1200">
        <v>2</v>
      </c>
      <c r="H1200" s="1">
        <v>5.1273148148148146E-3</v>
      </c>
      <c r="I1200">
        <v>2014</v>
      </c>
      <c r="J1200" t="s">
        <v>7</v>
      </c>
      <c r="K1200" s="2" t="str">
        <f>HYPERLINK("https://www.nba.com/stats/events?CFID=&amp;CFPARAMS=&amp;GameEventID=146&amp;GameID=0021400802&amp;Season=2014-15&amp;flag=1&amp;title=Baynes%204'%20Running%20Hook%20Shot%20(8%20PTS)%20(Leonard%202%20AST)", "Baynes 4' Running Hook Shot (8 PTS) (Leonard 2 AST)")</f>
        <v>Baynes 4' Running Hook Shot (8 PTS) (Leonard 2 AST)</v>
      </c>
      <c r="L1200" s="2" t="str">
        <f>HYPERLINK("https://www.nba.com/game/...-vs-...-0021400802/play-by-play?watchFullGame=true", "SAS vs LAC - Q2 07:23.00")</f>
        <v>SAS vs LAC - Q2 07:23.00</v>
      </c>
      <c r="M1200">
        <v>4</v>
      </c>
      <c r="N1200">
        <v>39</v>
      </c>
      <c r="O1200">
        <v>20</v>
      </c>
      <c r="P1200">
        <v>39</v>
      </c>
      <c r="Q1200">
        <v>20</v>
      </c>
      <c r="R1200" t="s">
        <v>0</v>
      </c>
      <c r="S1200" t="s">
        <v>0</v>
      </c>
      <c r="T1200" t="s">
        <v>0</v>
      </c>
    </row>
    <row r="1201" spans="1:20" x14ac:dyDescent="0.25">
      <c r="A1201">
        <v>21401039</v>
      </c>
      <c r="B1201" t="s">
        <v>4</v>
      </c>
      <c r="C1201" t="s">
        <v>5</v>
      </c>
      <c r="D1201">
        <v>66</v>
      </c>
      <c r="E1201">
        <v>43</v>
      </c>
      <c r="F1201">
        <v>23</v>
      </c>
      <c r="G1201">
        <v>3</v>
      </c>
      <c r="H1201" s="1">
        <v>6.8171296296296296E-3</v>
      </c>
      <c r="I1201">
        <v>2014</v>
      </c>
      <c r="J1201" t="s">
        <v>7</v>
      </c>
      <c r="K1201" s="2" t="str">
        <f>HYPERLINK("https://www.nba.com/stats/events?CFID=&amp;CFPARAMS=&amp;GameEventID=269&amp;GameID=0021401039&amp;Season=2014-15&amp;flag=1&amp;title=Splitter%203'%20Layup%20(17%20PTS)%20(Leonard%205%20AST)", "Splitter 3' Layup (17 PTS) (Leonard 5 AST)")</f>
        <v>Splitter 3' Layup (17 PTS) (Leonard 5 AST)</v>
      </c>
      <c r="L1201" s="2" t="str">
        <f>HYPERLINK("https://www.nba.com/game/...-vs-...-0021401039/play-by-play?watchFullGame=true", "SAS vs ATL - Q3 09:49.00")</f>
        <v>SAS vs ATL - Q3 09:49.00</v>
      </c>
      <c r="M1201">
        <v>3</v>
      </c>
      <c r="N1201">
        <v>-27</v>
      </c>
      <c r="O1201">
        <v>6</v>
      </c>
      <c r="P1201">
        <v>-27</v>
      </c>
      <c r="Q1201">
        <v>6</v>
      </c>
      <c r="R1201" t="s">
        <v>0</v>
      </c>
      <c r="S1201" t="s">
        <v>0</v>
      </c>
      <c r="T1201" t="s">
        <v>0</v>
      </c>
    </row>
    <row r="1202" spans="1:20" x14ac:dyDescent="0.25">
      <c r="A1202">
        <v>21401057</v>
      </c>
      <c r="B1202" t="s">
        <v>4</v>
      </c>
      <c r="C1202" t="s">
        <v>5</v>
      </c>
      <c r="D1202">
        <v>60</v>
      </c>
      <c r="E1202">
        <v>64</v>
      </c>
      <c r="F1202">
        <v>4</v>
      </c>
      <c r="G1202">
        <v>3</v>
      </c>
      <c r="H1202" s="1">
        <v>2.476851851851852E-3</v>
      </c>
      <c r="I1202">
        <v>2014</v>
      </c>
      <c r="J1202" t="s">
        <v>7</v>
      </c>
      <c r="K1202" s="2" t="str">
        <f>HYPERLINK("https://www.nba.com/stats/events?CFID=&amp;CFPARAMS=&amp;GameEventID=333&amp;GameID=0021401057&amp;Season=2014-15&amp;flag=1&amp;title=Duncan%202'%20Layup%20(6%20PTS)%20(Leonard%202%20AST)", "Duncan 2' Layup (6 PTS) (Leonard 2 AST)")</f>
        <v>Duncan 2' Layup (6 PTS) (Leonard 2 AST)</v>
      </c>
      <c r="L1202" s="2" t="str">
        <f>HYPERLINK("https://www.nba.com/game/...-vs-...-0021401057/play-by-play?watchFullGame=true", "SAS vs DAL - Q3 03:34.00")</f>
        <v>SAS vs DAL - Q3 03:34.00</v>
      </c>
      <c r="M1202">
        <v>2</v>
      </c>
      <c r="N1202">
        <v>-19</v>
      </c>
      <c r="O1202">
        <v>1</v>
      </c>
      <c r="P1202">
        <v>-19</v>
      </c>
      <c r="Q1202">
        <v>1</v>
      </c>
      <c r="R1202" t="s">
        <v>0</v>
      </c>
      <c r="S1202" t="s">
        <v>0</v>
      </c>
      <c r="T1202" t="s">
        <v>0</v>
      </c>
    </row>
    <row r="1203" spans="1:20" x14ac:dyDescent="0.25">
      <c r="A1203">
        <v>21500015</v>
      </c>
      <c r="B1203" t="s">
        <v>10</v>
      </c>
      <c r="C1203" t="s">
        <v>9</v>
      </c>
      <c r="D1203">
        <v>10</v>
      </c>
      <c r="E1203">
        <v>2</v>
      </c>
      <c r="F1203">
        <v>8</v>
      </c>
      <c r="G1203">
        <v>1</v>
      </c>
      <c r="H1203" s="1">
        <v>6.4351851851851853E-3</v>
      </c>
      <c r="I1203">
        <v>2015</v>
      </c>
      <c r="J1203" t="s">
        <v>12</v>
      </c>
      <c r="K1203" s="2" t="str">
        <f>HYPERLINK("https://www.nba.com/stats/events?CFID=&amp;CFPARAMS=&amp;GameEventID=27&amp;GameID=0021500015&amp;Season=2015-16&amp;flag=1&amp;title=McCollum%2025'%203PT%20Jump%20Shot%20(3%20PTS)%20(Leonard%201%20AST)", "McCollum 25' 3PT Jump Shot (3 PTS) (Leonard 1 AST)")</f>
        <v>McCollum 25' 3PT Jump Shot (3 PTS) (Leonard 1 AST)</v>
      </c>
      <c r="L1203" s="2" t="str">
        <f>HYPERLINK("https://www.nba.com/game/...-vs-...-0021500015/play-by-play?watchFullGame=true", "POR vs NOP - Q1 09:16.00")</f>
        <v>POR vs NOP - Q1 09:16.00</v>
      </c>
      <c r="M1203">
        <v>25</v>
      </c>
      <c r="N1203">
        <v>195</v>
      </c>
      <c r="O1203">
        <v>160</v>
      </c>
      <c r="P1203">
        <v>195</v>
      </c>
      <c r="Q1203">
        <v>160</v>
      </c>
      <c r="R1203" t="s">
        <v>0</v>
      </c>
      <c r="S1203" t="s">
        <v>0</v>
      </c>
      <c r="T1203" t="s">
        <v>0</v>
      </c>
    </row>
    <row r="1204" spans="1:20" x14ac:dyDescent="0.25">
      <c r="A1204">
        <v>21500195</v>
      </c>
      <c r="B1204" t="s">
        <v>10</v>
      </c>
      <c r="C1204" t="s">
        <v>9</v>
      </c>
      <c r="D1204">
        <v>64</v>
      </c>
      <c r="E1204">
        <v>55</v>
      </c>
      <c r="F1204">
        <v>9</v>
      </c>
      <c r="G1204">
        <v>3</v>
      </c>
      <c r="H1204" s="1">
        <v>4.1319444444444442E-3</v>
      </c>
      <c r="I1204">
        <v>2015</v>
      </c>
      <c r="J1204" t="s">
        <v>7</v>
      </c>
      <c r="K1204" s="2" t="str">
        <f>HYPERLINK("https://www.nba.com/stats/events?CFID=&amp;CFPARAMS=&amp;GameEventID=301&amp;GameID=0021500195&amp;Season=2015-16&amp;flag=1&amp;title=Green%2025'%203PT%20Jump%20Shot%20(9%20PTS)%20(Leonard%203%20AST)", "Green 25' 3PT Jump Shot (9 PTS) (Leonard 3 AST)")</f>
        <v>Green 25' 3PT Jump Shot (9 PTS) (Leonard 3 AST)</v>
      </c>
      <c r="L1204" s="2" t="str">
        <f>HYPERLINK("https://www.nba.com/game/...-vs-...-0021500195/play-by-play?watchFullGame=true", "SAS vs MEM - Q3 05:57.00")</f>
        <v>SAS vs MEM - Q3 05:57.00</v>
      </c>
      <c r="M1204">
        <v>25</v>
      </c>
      <c r="N1204">
        <v>164</v>
      </c>
      <c r="O1204">
        <v>188</v>
      </c>
      <c r="P1204">
        <v>164</v>
      </c>
      <c r="Q1204">
        <v>188</v>
      </c>
      <c r="R1204" t="s">
        <v>0</v>
      </c>
      <c r="S1204" t="s">
        <v>0</v>
      </c>
      <c r="T1204" t="s">
        <v>0</v>
      </c>
    </row>
    <row r="1205" spans="1:20" x14ac:dyDescent="0.25">
      <c r="A1205">
        <v>21500431</v>
      </c>
      <c r="B1205" t="s">
        <v>4</v>
      </c>
      <c r="C1205" t="s">
        <v>36</v>
      </c>
      <c r="D1205">
        <v>98</v>
      </c>
      <c r="E1205">
        <v>75</v>
      </c>
      <c r="F1205">
        <v>23</v>
      </c>
      <c r="G1205">
        <v>4</v>
      </c>
      <c r="H1205" s="1">
        <v>2.7546296296296294E-3</v>
      </c>
      <c r="I1205">
        <v>2015</v>
      </c>
      <c r="J1205" t="s">
        <v>7</v>
      </c>
      <c r="K1205" s="2" t="str">
        <f>HYPERLINK("https://www.nba.com/stats/events?CFID=&amp;CFPARAMS=&amp;GameEventID=435&amp;GameID=0021500431&amp;Season=2015-16&amp;flag=1&amp;title=Simmons%203'%20Running%20Layup%20(2%20PTS)%20(Leonard%202%20AST)", "Simmons 3' Running Layup (2 PTS) (Leonard 2 AST)")</f>
        <v>Simmons 3' Running Layup (2 PTS) (Leonard 2 AST)</v>
      </c>
      <c r="L1205" s="2" t="str">
        <f>HYPERLINK("https://www.nba.com/game/...-vs-...-0021500431/play-by-play?watchFullGame=true", "SAS vs MIN - Q4 03:58.00")</f>
        <v>SAS vs MIN - Q4 03:58.00</v>
      </c>
      <c r="M1205">
        <v>3</v>
      </c>
      <c r="N1205">
        <v>-22</v>
      </c>
      <c r="O1205">
        <v>18</v>
      </c>
      <c r="P1205">
        <v>-22</v>
      </c>
      <c r="Q1205">
        <v>18</v>
      </c>
      <c r="R1205" t="s">
        <v>0</v>
      </c>
      <c r="S1205" t="s">
        <v>0</v>
      </c>
      <c r="T1205" t="s">
        <v>0</v>
      </c>
    </row>
    <row r="1206" spans="1:20" x14ac:dyDescent="0.25">
      <c r="A1206">
        <v>21500439</v>
      </c>
      <c r="B1206" t="s">
        <v>4</v>
      </c>
      <c r="C1206" t="s">
        <v>5</v>
      </c>
      <c r="D1206">
        <v>69</v>
      </c>
      <c r="E1206">
        <v>70</v>
      </c>
      <c r="F1206">
        <v>1</v>
      </c>
      <c r="G1206">
        <v>4</v>
      </c>
      <c r="H1206" s="1">
        <v>4.6296296296296294E-3</v>
      </c>
      <c r="I1206">
        <v>2015</v>
      </c>
      <c r="J1206" t="s">
        <v>7</v>
      </c>
      <c r="K1206" s="2" t="str">
        <f>HYPERLINK("https://www.nba.com/stats/events?CFID=&amp;CFPARAMS=&amp;GameEventID=431&amp;GameID=0021500439&amp;Season=2015-16&amp;flag=1&amp;title=Duncan%202'%20Layup%20(5%20PTS)%20(Leonard%203%20AST)", "Duncan 2' Layup (5 PTS) (Leonard 3 AST)")</f>
        <v>Duncan 2' Layup (5 PTS) (Leonard 3 AST)</v>
      </c>
      <c r="L1206" s="2" t="str">
        <f>HYPERLINK("https://www.nba.com/game/...-vs-...-0021500439/play-by-play?watchFullGame=true", "SAS vs HOU - Q4 06:40.00")</f>
        <v>SAS vs HOU - Q4 06:40.00</v>
      </c>
      <c r="M1206">
        <v>2</v>
      </c>
      <c r="N1206">
        <v>22</v>
      </c>
      <c r="O1206">
        <v>3</v>
      </c>
      <c r="P1206">
        <v>22</v>
      </c>
      <c r="Q1206">
        <v>3</v>
      </c>
      <c r="R1206" t="s">
        <v>0</v>
      </c>
      <c r="S1206" t="s">
        <v>0</v>
      </c>
      <c r="T1206" t="s">
        <v>0</v>
      </c>
    </row>
    <row r="1207" spans="1:20" x14ac:dyDescent="0.25">
      <c r="A1207">
        <v>21400656</v>
      </c>
      <c r="B1207" t="s">
        <v>10</v>
      </c>
      <c r="C1207" t="s">
        <v>9</v>
      </c>
      <c r="D1207">
        <v>77</v>
      </c>
      <c r="E1207">
        <v>74</v>
      </c>
      <c r="F1207">
        <v>3</v>
      </c>
      <c r="G1207">
        <v>4</v>
      </c>
      <c r="H1207" s="1">
        <v>5.6597222222222222E-3</v>
      </c>
      <c r="I1207">
        <v>2014</v>
      </c>
      <c r="J1207" t="s">
        <v>12</v>
      </c>
      <c r="K1207" s="2" t="str">
        <f>HYPERLINK("https://www.nba.com/stats/events?CFID=&amp;CFPARAMS=&amp;GameEventID=370&amp;GameID=0021400656&amp;Season=2014-15&amp;flag=1&amp;title=Wright%2026'%203PT%20Jump%20Shot%20(10%20PTS)%20(Leonard%201%20AST)", "Wright 26' 3PT Jump Shot (10 PTS) (Leonard 1 AST)")</f>
        <v>Wright 26' 3PT Jump Shot (10 PTS) (Leonard 1 AST)</v>
      </c>
      <c r="L1207" s="2" t="str">
        <f>HYPERLINK("https://www.nba.com/game/...-vs-...-0021400656/play-by-play?watchFullGame=true", "POR vs WAS - Q4 08:09.00")</f>
        <v>POR vs WAS - Q4 08:09.00</v>
      </c>
      <c r="M1207">
        <v>26</v>
      </c>
      <c r="N1207">
        <v>-131</v>
      </c>
      <c r="O1207">
        <v>219</v>
      </c>
      <c r="P1207">
        <v>-131</v>
      </c>
      <c r="Q1207">
        <v>219</v>
      </c>
      <c r="R1207" t="s">
        <v>0</v>
      </c>
      <c r="S1207" t="s">
        <v>0</v>
      </c>
      <c r="T1207" t="s">
        <v>0</v>
      </c>
    </row>
    <row r="1208" spans="1:20" x14ac:dyDescent="0.25">
      <c r="A1208">
        <v>21400663</v>
      </c>
      <c r="B1208" t="s">
        <v>4</v>
      </c>
      <c r="C1208" t="s">
        <v>22</v>
      </c>
      <c r="D1208">
        <v>21</v>
      </c>
      <c r="E1208">
        <v>24</v>
      </c>
      <c r="F1208">
        <v>3</v>
      </c>
      <c r="G1208">
        <v>1</v>
      </c>
      <c r="H1208" s="1">
        <v>5.8680555555555558E-4</v>
      </c>
      <c r="I1208">
        <v>2014</v>
      </c>
      <c r="J1208" t="s">
        <v>7</v>
      </c>
      <c r="K1208" s="2" t="str">
        <f>HYPERLINK("https://www.nba.com/stats/events?CFID=&amp;CFPARAMS=&amp;GameEventID=105&amp;GameID=0021400663&amp;Season=2014-15&amp;flag=1&amp;title=Mills%209'%20Jump%20Bank%20Shot%20(5%20PTS)%20(Leonard%201%20AST)", "Mills 9' Jump Bank Shot (5 PTS) (Leonard 1 AST)")</f>
        <v>Mills 9' Jump Bank Shot (5 PTS) (Leonard 1 AST)</v>
      </c>
      <c r="L1208" s="2" t="str">
        <f>HYPERLINK("https://www.nba.com/game/...-vs-...-0021400663/play-by-play?watchFullGame=true", "SAS vs MIL - Q1 00:50.70")</f>
        <v>SAS vs MIL - Q1 00:50.70</v>
      </c>
      <c r="M1208">
        <v>9</v>
      </c>
      <c r="N1208">
        <v>89</v>
      </c>
      <c r="O1208">
        <v>25</v>
      </c>
      <c r="P1208">
        <v>89</v>
      </c>
      <c r="Q1208">
        <v>25</v>
      </c>
      <c r="R1208" t="s">
        <v>0</v>
      </c>
      <c r="S1208" t="s">
        <v>0</v>
      </c>
      <c r="T1208" t="s">
        <v>0</v>
      </c>
    </row>
    <row r="1209" spans="1:20" x14ac:dyDescent="0.25">
      <c r="A1209">
        <v>21400802</v>
      </c>
      <c r="B1209" t="s">
        <v>4</v>
      </c>
      <c r="C1209" t="s">
        <v>5</v>
      </c>
      <c r="D1209">
        <v>97</v>
      </c>
      <c r="E1209">
        <v>100</v>
      </c>
      <c r="F1209">
        <v>3</v>
      </c>
      <c r="G1209">
        <v>4</v>
      </c>
      <c r="H1209" s="1">
        <v>5.0810185185185186E-3</v>
      </c>
      <c r="I1209">
        <v>2014</v>
      </c>
      <c r="J1209" t="s">
        <v>7</v>
      </c>
      <c r="K1209" s="2" t="str">
        <f>HYPERLINK("https://www.nba.com/stats/events?CFID=&amp;CFPARAMS=&amp;GameEventID=477&amp;GameID=0021400802&amp;Season=2014-15&amp;flag=1&amp;title=Duncan%202'%20Layup%20(22%20PTS)%20(Leonard%206%20AST)", "Duncan 2' Layup (22 PTS) (Leonard 6 AST)")</f>
        <v>Duncan 2' Layup (22 PTS) (Leonard 6 AST)</v>
      </c>
      <c r="L1209" s="2" t="str">
        <f>HYPERLINK("https://www.nba.com/game/...-vs-...-0021400802/play-by-play?watchFullGame=true", "SAS vs LAC - Q4 07:19.00")</f>
        <v>SAS vs LAC - Q4 07:19.00</v>
      </c>
      <c r="M1209">
        <v>2</v>
      </c>
      <c r="N1209">
        <v>-18</v>
      </c>
      <c r="O1209">
        <v>14</v>
      </c>
      <c r="P1209">
        <v>-18</v>
      </c>
      <c r="Q1209">
        <v>14</v>
      </c>
      <c r="R1209" t="s">
        <v>0</v>
      </c>
      <c r="S1209" t="s">
        <v>0</v>
      </c>
      <c r="T1209" t="s">
        <v>0</v>
      </c>
    </row>
    <row r="1210" spans="1:20" x14ac:dyDescent="0.25">
      <c r="A1210">
        <v>21400867</v>
      </c>
      <c r="B1210" t="s">
        <v>4</v>
      </c>
      <c r="C1210" t="s">
        <v>9</v>
      </c>
      <c r="D1210">
        <v>61</v>
      </c>
      <c r="E1210">
        <v>58</v>
      </c>
      <c r="F1210">
        <v>3</v>
      </c>
      <c r="G1210">
        <v>3</v>
      </c>
      <c r="H1210" s="1">
        <v>5.115740740740741E-3</v>
      </c>
      <c r="I1210">
        <v>2014</v>
      </c>
      <c r="J1210" t="s">
        <v>7</v>
      </c>
      <c r="K1210" s="2" t="str">
        <f>HYPERLINK("https://www.nba.com/stats/events?CFID=&amp;CFPARAMS=&amp;GameEventID=333&amp;GameID=0021400867&amp;Season=2014-15&amp;flag=1&amp;title=Duncan%208'%20Jump%20Shot%20(10%20PTS)%20(Leonard%203%20AST)", "Duncan 8' Jump Shot (10 PTS) (Leonard 3 AST)")</f>
        <v>Duncan 8' Jump Shot (10 PTS) (Leonard 3 AST)</v>
      </c>
      <c r="L1210" s="2" t="str">
        <f>HYPERLINK("https://www.nba.com/game/...-vs-...-0021400867/play-by-play?watchFullGame=true", "SAS vs SAC - Q3 07:22.00")</f>
        <v>SAS vs SAC - Q3 07:22.00</v>
      </c>
      <c r="M1210">
        <v>8</v>
      </c>
      <c r="N1210">
        <v>-46</v>
      </c>
      <c r="O1210">
        <v>63</v>
      </c>
      <c r="P1210">
        <v>-46</v>
      </c>
      <c r="Q1210">
        <v>63</v>
      </c>
      <c r="R1210" t="s">
        <v>0</v>
      </c>
      <c r="S1210" t="s">
        <v>0</v>
      </c>
      <c r="T1210" t="s">
        <v>0</v>
      </c>
    </row>
    <row r="1211" spans="1:20" x14ac:dyDescent="0.25">
      <c r="A1211">
        <v>21400964</v>
      </c>
      <c r="B1211" t="s">
        <v>4</v>
      </c>
      <c r="C1211" t="s">
        <v>41</v>
      </c>
      <c r="D1211">
        <v>46</v>
      </c>
      <c r="E1211">
        <v>41</v>
      </c>
      <c r="F1211">
        <v>5</v>
      </c>
      <c r="G1211">
        <v>2</v>
      </c>
      <c r="H1211" s="1">
        <v>4.8958333333333336E-3</v>
      </c>
      <c r="I1211">
        <v>2014</v>
      </c>
      <c r="J1211" t="s">
        <v>7</v>
      </c>
      <c r="K1211" s="2" t="str">
        <f>HYPERLINK("https://www.nba.com/stats/events?CFID=&amp;CFPARAMS=&amp;GameEventID=178&amp;GameID=0021400964&amp;Season=2014-15&amp;flag=1&amp;title=Parker%2010'%20Turnaround%20Jump%20Shot%20(11%20PTS)%20(Leonard%203%20AST)", "Parker 10' Turnaround Jump Shot (11 PTS) (Leonard 3 AST)")</f>
        <v>Parker 10' Turnaround Jump Shot (11 PTS) (Leonard 3 AST)</v>
      </c>
      <c r="L1211" s="2" t="str">
        <f>HYPERLINK("https://www.nba.com/game/...-vs-...-0021400964/play-by-play?watchFullGame=true", "SAS vs CLE - Q2 07:03.00")</f>
        <v>SAS vs CLE - Q2 07:03.00</v>
      </c>
      <c r="M1211">
        <v>10</v>
      </c>
      <c r="N1211">
        <v>-7</v>
      </c>
      <c r="O1211">
        <v>96</v>
      </c>
      <c r="P1211">
        <v>-7</v>
      </c>
      <c r="Q1211">
        <v>96</v>
      </c>
      <c r="R1211" t="s">
        <v>0</v>
      </c>
      <c r="S1211" t="s">
        <v>0</v>
      </c>
      <c r="T1211" t="s">
        <v>0</v>
      </c>
    </row>
    <row r="1212" spans="1:20" x14ac:dyDescent="0.25">
      <c r="A1212">
        <v>21400964</v>
      </c>
      <c r="B1212" t="s">
        <v>10</v>
      </c>
      <c r="C1212" t="s">
        <v>9</v>
      </c>
      <c r="D1212">
        <v>116</v>
      </c>
      <c r="E1212">
        <v>116</v>
      </c>
      <c r="F1212">
        <v>0</v>
      </c>
      <c r="G1212">
        <v>5</v>
      </c>
      <c r="H1212" s="1">
        <v>1.5972222222222223E-3</v>
      </c>
      <c r="I1212">
        <v>2014</v>
      </c>
      <c r="J1212" t="s">
        <v>7</v>
      </c>
      <c r="K1212" s="2" t="str">
        <f>HYPERLINK("https://www.nba.com/stats/events?CFID=&amp;CFPARAMS=&amp;GameEventID=546&amp;GameID=0021400964&amp;Season=2014-15&amp;flag=1&amp;title=Green%2026'%203PT%20Jump%20Shot%20(21%20PTS)%20(Leonard%207%20AST)", "Green 26' 3PT Jump Shot (21 PTS) (Leonard 7 AST)")</f>
        <v>Green 26' 3PT Jump Shot (21 PTS) (Leonard 7 AST)</v>
      </c>
      <c r="L1212" s="2" t="str">
        <f>HYPERLINK("https://www.nba.com/game/...-vs-...-0021400964/play-by-play?watchFullGame=true", "SAS vs CLE - Q5 02:18.00")</f>
        <v>SAS vs CLE - Q5 02:18.00</v>
      </c>
      <c r="M1212">
        <v>26</v>
      </c>
      <c r="N1212">
        <v>-182</v>
      </c>
      <c r="O1212">
        <v>179</v>
      </c>
      <c r="P1212">
        <v>-182</v>
      </c>
      <c r="Q1212">
        <v>179</v>
      </c>
      <c r="R1212" t="s">
        <v>0</v>
      </c>
      <c r="S1212" t="s">
        <v>0</v>
      </c>
      <c r="T1212" t="s">
        <v>0</v>
      </c>
    </row>
    <row r="1213" spans="1:20" x14ac:dyDescent="0.25">
      <c r="A1213">
        <v>21401057</v>
      </c>
      <c r="B1213" t="s">
        <v>10</v>
      </c>
      <c r="C1213" t="s">
        <v>9</v>
      </c>
      <c r="D1213">
        <v>54</v>
      </c>
      <c r="E1213">
        <v>53</v>
      </c>
      <c r="F1213">
        <v>1</v>
      </c>
      <c r="G1213">
        <v>3</v>
      </c>
      <c r="H1213" s="1">
        <v>4.8032407407407407E-3</v>
      </c>
      <c r="I1213">
        <v>2014</v>
      </c>
      <c r="J1213" t="s">
        <v>7</v>
      </c>
      <c r="K1213" s="2" t="str">
        <f>HYPERLINK("https://www.nba.com/stats/events?CFID=&amp;CFPARAMS=&amp;GameEventID=300&amp;GameID=0021401057&amp;Season=2014-15&amp;flag=1&amp;title=Green%20%203PT%20Jump%20Shot%20(5%20PTS)%20(Leonard%201%20AST)", "Green  3PT Jump Shot (5 PTS) (Leonard 1 AST)")</f>
        <v>Green  3PT Jump Shot (5 PTS) (Leonard 1 AST)</v>
      </c>
      <c r="L1213" s="2" t="str">
        <f>HYPERLINK("https://www.nba.com/game/...-vs-...-0021401057/play-by-play?watchFullGame=true", "SAS vs DAL - Q3 06:55.00")</f>
        <v>SAS vs DAL - Q3 06:55.00</v>
      </c>
      <c r="M1213">
        <v>0</v>
      </c>
      <c r="N1213">
        <v>228</v>
      </c>
      <c r="O1213">
        <v>0</v>
      </c>
      <c r="P1213">
        <v>228</v>
      </c>
      <c r="Q1213">
        <v>0</v>
      </c>
      <c r="R1213" t="s">
        <v>0</v>
      </c>
      <c r="S1213" t="s">
        <v>0</v>
      </c>
      <c r="T1213" t="s">
        <v>0</v>
      </c>
    </row>
    <row r="1214" spans="1:20" x14ac:dyDescent="0.25">
      <c r="A1214">
        <v>21401136</v>
      </c>
      <c r="B1214" t="s">
        <v>10</v>
      </c>
      <c r="C1214" t="s">
        <v>9</v>
      </c>
      <c r="D1214">
        <v>36</v>
      </c>
      <c r="E1214">
        <v>17</v>
      </c>
      <c r="F1214">
        <v>19</v>
      </c>
      <c r="G1214">
        <v>2</v>
      </c>
      <c r="H1214" s="1">
        <v>7.0486111111111114E-3</v>
      </c>
      <c r="I1214">
        <v>2014</v>
      </c>
      <c r="J1214" t="s">
        <v>12</v>
      </c>
      <c r="K1214" s="2" t="str">
        <f>HYPERLINK("https://www.nba.com/stats/events?CFID=&amp;CFPARAMS=&amp;GameEventID=110&amp;GameID=0021401136&amp;Season=2014-15&amp;flag=1&amp;title=Afflalo%20%203PT%20Jump%20Shot%20(6%20PTS)%20(Leonard%201%20AST)", "Afflalo  3PT Jump Shot (6 PTS) (Leonard 1 AST)")</f>
        <v>Afflalo  3PT Jump Shot (6 PTS) (Leonard 1 AST)</v>
      </c>
      <c r="L1214" s="2" t="str">
        <f>HYPERLINK("https://www.nba.com/game/...-vs-...-0021401136/play-by-play?watchFullGame=true", "POR vs LAL - Q2 10:09.00")</f>
        <v>POR vs LAL - Q2 10:09.00</v>
      </c>
      <c r="M1214">
        <v>0</v>
      </c>
      <c r="N1214">
        <v>-231</v>
      </c>
      <c r="O1214">
        <v>43</v>
      </c>
      <c r="P1214">
        <v>-231</v>
      </c>
      <c r="Q1214">
        <v>43</v>
      </c>
      <c r="R1214" t="s">
        <v>0</v>
      </c>
      <c r="S1214" t="s">
        <v>0</v>
      </c>
      <c r="T1214" t="s">
        <v>0</v>
      </c>
    </row>
    <row r="1215" spans="1:20" x14ac:dyDescent="0.25">
      <c r="A1215">
        <v>21500928</v>
      </c>
      <c r="B1215" t="s">
        <v>4</v>
      </c>
      <c r="C1215" t="s">
        <v>9</v>
      </c>
      <c r="D1215">
        <v>11</v>
      </c>
      <c r="E1215">
        <v>8</v>
      </c>
      <c r="F1215">
        <v>3</v>
      </c>
      <c r="G1215">
        <v>1</v>
      </c>
      <c r="H1215" s="1">
        <v>5.3819444444444444E-3</v>
      </c>
      <c r="I1215">
        <v>2015</v>
      </c>
      <c r="J1215" t="s">
        <v>7</v>
      </c>
      <c r="K1215" s="2" t="str">
        <f>HYPERLINK("https://www.nba.com/stats/events?CFID=&amp;CFPARAMS=&amp;GameEventID=34&amp;GameID=0021500928&amp;Season=2015-16&amp;flag=1&amp;title=Parker%2021'%20Jump%20Shot%20(2%20PTS)%20(Leonard%202%20AST)", "Parker 21' Jump Shot (2 PTS) (Leonard 2 AST)")</f>
        <v>Parker 21' Jump Shot (2 PTS) (Leonard 2 AST)</v>
      </c>
      <c r="L1215" s="2" t="str">
        <f>HYPERLINK("https://www.nba.com/game/...-vs-...-0021500928/play-by-play?watchFullGame=true", "SAS vs SAC - Q1 07:45.00")</f>
        <v>SAS vs SAC - Q1 07:45.00</v>
      </c>
      <c r="M1215">
        <v>21</v>
      </c>
      <c r="N1215">
        <v>-207</v>
      </c>
      <c r="O1215">
        <v>21</v>
      </c>
      <c r="P1215">
        <v>-207</v>
      </c>
      <c r="Q1215">
        <v>21</v>
      </c>
      <c r="R1215" t="s">
        <v>0</v>
      </c>
      <c r="S1215" t="s">
        <v>0</v>
      </c>
      <c r="T1215" t="s">
        <v>0</v>
      </c>
    </row>
    <row r="1216" spans="1:20" x14ac:dyDescent="0.25">
      <c r="A1216">
        <v>21500979</v>
      </c>
      <c r="B1216" t="s">
        <v>4</v>
      </c>
      <c r="C1216" t="s">
        <v>24</v>
      </c>
      <c r="D1216">
        <v>84</v>
      </c>
      <c r="E1216">
        <v>78</v>
      </c>
      <c r="F1216">
        <v>6</v>
      </c>
      <c r="G1216">
        <v>4</v>
      </c>
      <c r="H1216" s="1">
        <v>4.1203703703703706E-3</v>
      </c>
      <c r="I1216">
        <v>2015</v>
      </c>
      <c r="J1216" t="s">
        <v>7</v>
      </c>
      <c r="K1216" s="2" t="str">
        <f>HYPERLINK("https://www.nba.com/stats/events?CFID=&amp;CFPARAMS=&amp;GameEventID=452&amp;GameID=0021500979&amp;Season=2015-16&amp;flag=1&amp;title=Aldridge%202'%20Cutting%20Finger%20Roll%20Layup%20Shot%20(23%20PTS)%20(Leonard%203%20AST)", "Aldridge 2' Cutting Finger Roll Layup Shot (23 PTS) (Leonard 3 AST)")</f>
        <v>Aldridge 2' Cutting Finger Roll Layup Shot (23 PTS) (Leonard 3 AST)</v>
      </c>
      <c r="L1216" s="2" t="str">
        <f>HYPERLINK("https://www.nba.com/game/...-vs-...-0021500979/play-by-play?watchFullGame=true", "SAS vs OKC - Q4 05:56.00")</f>
        <v>SAS vs OKC - Q4 05:56.00</v>
      </c>
      <c r="M1216">
        <v>2</v>
      </c>
      <c r="N1216">
        <v>6</v>
      </c>
      <c r="O1216">
        <v>23</v>
      </c>
      <c r="P1216">
        <v>6</v>
      </c>
      <c r="Q1216">
        <v>23</v>
      </c>
      <c r="R1216" t="s">
        <v>0</v>
      </c>
      <c r="S1216" t="s">
        <v>0</v>
      </c>
      <c r="T1216" t="s">
        <v>0</v>
      </c>
    </row>
    <row r="1217" spans="1:20" x14ac:dyDescent="0.25">
      <c r="A1217">
        <v>21501036</v>
      </c>
      <c r="B1217" t="s">
        <v>10</v>
      </c>
      <c r="C1217" t="s">
        <v>9</v>
      </c>
      <c r="D1217">
        <v>63</v>
      </c>
      <c r="E1217">
        <v>58</v>
      </c>
      <c r="F1217">
        <v>5</v>
      </c>
      <c r="G1217">
        <v>3</v>
      </c>
      <c r="H1217" s="1">
        <v>2.5810185185185185E-3</v>
      </c>
      <c r="I1217">
        <v>2015</v>
      </c>
      <c r="J1217" t="s">
        <v>7</v>
      </c>
      <c r="K1217" s="2" t="str">
        <f>HYPERLINK("https://www.nba.com/stats/events?CFID=&amp;CFPARAMS=&amp;GameEventID=314&amp;GameID=0021501036&amp;Season=2015-16&amp;flag=1&amp;title=Ginobili%2025'%203PT%20Jump%20Shot%20(9%20PTS)%20(Leonard%204%20AST)", "Ginobili 25' 3PT Jump Shot (9 PTS) (Leonard 4 AST)")</f>
        <v>Ginobili 25' 3PT Jump Shot (9 PTS) (Leonard 4 AST)</v>
      </c>
      <c r="L1217" s="2" t="str">
        <f>HYPERLINK("https://www.nba.com/game/...-vs-...-0021501036/play-by-play?watchFullGame=true", "SAS vs GSW - Q3 03:43.00")</f>
        <v>SAS vs GSW - Q3 03:43.00</v>
      </c>
      <c r="M1217">
        <v>25</v>
      </c>
      <c r="N1217">
        <v>-143</v>
      </c>
      <c r="O1217">
        <v>203</v>
      </c>
      <c r="P1217">
        <v>-143</v>
      </c>
      <c r="Q1217">
        <v>203</v>
      </c>
      <c r="R1217" t="s">
        <v>0</v>
      </c>
      <c r="S1217" t="s">
        <v>0</v>
      </c>
      <c r="T1217" t="s">
        <v>0</v>
      </c>
    </row>
    <row r="1218" spans="1:20" x14ac:dyDescent="0.25">
      <c r="A1218">
        <v>21501201</v>
      </c>
      <c r="B1218" t="s">
        <v>4</v>
      </c>
      <c r="C1218" t="s">
        <v>19</v>
      </c>
      <c r="D1218">
        <v>49</v>
      </c>
      <c r="E1218">
        <v>51</v>
      </c>
      <c r="F1218">
        <v>2</v>
      </c>
      <c r="G1218">
        <v>3</v>
      </c>
      <c r="H1218" s="1">
        <v>3.8888888888888888E-3</v>
      </c>
      <c r="I1218">
        <v>2015</v>
      </c>
      <c r="J1218" t="s">
        <v>7</v>
      </c>
      <c r="K1218" s="2" t="str">
        <f>HYPERLINK("https://www.nba.com/stats/events?CFID=&amp;CFPARAMS=&amp;GameEventID=327&amp;GameID=0021501201&amp;Season=2015-16&amp;flag=1&amp;title=West%2010'%20Pullup%20Jump%20Shot%20(4%20PTS)%20(Leonard%203%20AST)", "West 10' Pullup Jump Shot (4 PTS) (Leonard 3 AST)")</f>
        <v>West 10' Pullup Jump Shot (4 PTS) (Leonard 3 AST)</v>
      </c>
      <c r="L1218" s="2" t="str">
        <f>HYPERLINK("https://www.nba.com/game/...-vs-...-0021501201/play-by-play?watchFullGame=true", "SAS vs GSW - Q3 05:36.00")</f>
        <v>SAS vs GSW - Q3 05:36.00</v>
      </c>
      <c r="M1218">
        <v>10</v>
      </c>
      <c r="N1218">
        <v>86</v>
      </c>
      <c r="O1218">
        <v>57</v>
      </c>
      <c r="P1218">
        <v>86</v>
      </c>
      <c r="Q1218">
        <v>57</v>
      </c>
      <c r="R1218" t="s">
        <v>0</v>
      </c>
      <c r="S1218" t="s">
        <v>0</v>
      </c>
      <c r="T1218" t="s">
        <v>0</v>
      </c>
    </row>
    <row r="1219" spans="1:20" x14ac:dyDescent="0.25">
      <c r="A1219">
        <v>21501215</v>
      </c>
      <c r="B1219" t="s">
        <v>4</v>
      </c>
      <c r="C1219" t="s">
        <v>22</v>
      </c>
      <c r="D1219">
        <v>2</v>
      </c>
      <c r="E1219">
        <v>5</v>
      </c>
      <c r="F1219">
        <v>3</v>
      </c>
      <c r="G1219">
        <v>1</v>
      </c>
      <c r="H1219" s="1">
        <v>7.5810185185185182E-3</v>
      </c>
      <c r="I1219">
        <v>2015</v>
      </c>
      <c r="J1219" t="s">
        <v>7</v>
      </c>
      <c r="K1219" s="2" t="str">
        <f>HYPERLINK("https://www.nba.com/stats/events?CFID=&amp;CFPARAMS=&amp;GameEventID=6&amp;GameID=0021501215&amp;Season=2015-16&amp;flag=1&amp;title=Duncan%2013'%20Jump%20Bank%20Shot%20(2%20PTS)%20(Leonard%201%20AST)", "Duncan 13' Jump Bank Shot (2 PTS) (Leonard 1 AST)")</f>
        <v>Duncan 13' Jump Bank Shot (2 PTS) (Leonard 1 AST)</v>
      </c>
      <c r="L1219" s="2" t="str">
        <f>HYPERLINK("https://www.nba.com/game/...-vs-...-0021501215/play-by-play?watchFullGame=true", "SAS vs OKC - Q1 10:55.00")</f>
        <v>SAS vs OKC - Q1 10:55.00</v>
      </c>
      <c r="M1219">
        <v>13</v>
      </c>
      <c r="N1219">
        <v>-130</v>
      </c>
      <c r="O1219">
        <v>21</v>
      </c>
      <c r="P1219">
        <v>-130</v>
      </c>
      <c r="Q1219">
        <v>21</v>
      </c>
      <c r="R1219" t="s">
        <v>0</v>
      </c>
      <c r="S1219" t="s">
        <v>0</v>
      </c>
      <c r="T1219" t="s">
        <v>0</v>
      </c>
    </row>
    <row r="1220" spans="1:20" x14ac:dyDescent="0.25">
      <c r="A1220">
        <v>21600003</v>
      </c>
      <c r="B1220" t="s">
        <v>4</v>
      </c>
      <c r="C1220" t="s">
        <v>9</v>
      </c>
      <c r="D1220">
        <v>44</v>
      </c>
      <c r="E1220">
        <v>28</v>
      </c>
      <c r="F1220">
        <v>16</v>
      </c>
      <c r="G1220">
        <v>2</v>
      </c>
      <c r="H1220" s="1">
        <v>4.5023148148148149E-3</v>
      </c>
      <c r="I1220">
        <v>2016</v>
      </c>
      <c r="J1220" t="s">
        <v>7</v>
      </c>
      <c r="K1220" s="2" t="str">
        <f>HYPERLINK("https://www.nba.com/stats/events?CFID=&amp;CFPARAMS=&amp;GameEventID=187&amp;GameID=0021600003&amp;Season=2016-17&amp;flag=1&amp;title=Aldridge%2019'%20Jump%20Shot%20(8%20PTS)%20(Leonard%201%20AST)", "Aldridge 19' Jump Shot (8 PTS) (Leonard 1 AST)")</f>
        <v>Aldridge 19' Jump Shot (8 PTS) (Leonard 1 AST)</v>
      </c>
      <c r="L1220" s="2" t="str">
        <f>HYPERLINK("https://www.nba.com/game/...-vs-...-0021600003/play-by-play?watchFullGame=true", "SAS vs GSW - Q2 06:29.00")</f>
        <v>SAS vs GSW - Q2 06:29.00</v>
      </c>
      <c r="M1220">
        <v>19</v>
      </c>
      <c r="N1220">
        <v>46</v>
      </c>
      <c r="O1220">
        <v>185</v>
      </c>
      <c r="P1220">
        <v>46</v>
      </c>
      <c r="Q1220">
        <v>185</v>
      </c>
      <c r="R1220" t="s">
        <v>0</v>
      </c>
      <c r="S1220" t="s">
        <v>0</v>
      </c>
      <c r="T1220" t="s">
        <v>0</v>
      </c>
    </row>
    <row r="1221" spans="1:20" x14ac:dyDescent="0.25">
      <c r="A1221">
        <v>21600016</v>
      </c>
      <c r="B1221" t="s">
        <v>4</v>
      </c>
      <c r="C1221" t="s">
        <v>9</v>
      </c>
      <c r="D1221">
        <v>43</v>
      </c>
      <c r="E1221">
        <v>44</v>
      </c>
      <c r="F1221">
        <v>1</v>
      </c>
      <c r="G1221">
        <v>2</v>
      </c>
      <c r="H1221" s="1">
        <v>3.6226851851851854E-3</v>
      </c>
      <c r="I1221">
        <v>2016</v>
      </c>
      <c r="J1221" t="s">
        <v>7</v>
      </c>
      <c r="K1221" s="2" t="str">
        <f>HYPERLINK("https://www.nba.com/stats/events?CFID=&amp;CFPARAMS=&amp;GameEventID=202&amp;GameID=0021600016&amp;Season=2016-17&amp;flag=1&amp;title=Aldridge%2013'%20Jump%20Shot%20(5%20PTS)%20(Leonard%202%20AST)", "Aldridge 13' Jump Shot (5 PTS) (Leonard 2 AST)")</f>
        <v>Aldridge 13' Jump Shot (5 PTS) (Leonard 2 AST)</v>
      </c>
      <c r="L1221" s="2" t="str">
        <f>HYPERLINK("https://www.nba.com/game/...-vs-...-0021600016/play-by-play?watchFullGame=true", "SAS vs SAC - Q2 05:13.00")</f>
        <v>SAS vs SAC - Q2 05:13.00</v>
      </c>
      <c r="M1221">
        <v>13</v>
      </c>
      <c r="N1221">
        <v>132</v>
      </c>
      <c r="O1221">
        <v>16</v>
      </c>
      <c r="P1221">
        <v>132</v>
      </c>
      <c r="Q1221">
        <v>16</v>
      </c>
      <c r="R1221" t="s">
        <v>0</v>
      </c>
      <c r="S1221" t="s">
        <v>0</v>
      </c>
      <c r="T1221" t="s">
        <v>0</v>
      </c>
    </row>
    <row r="1222" spans="1:20" x14ac:dyDescent="0.25">
      <c r="A1222">
        <v>21600240</v>
      </c>
      <c r="B1222" t="s">
        <v>10</v>
      </c>
      <c r="C1222" t="s">
        <v>9</v>
      </c>
      <c r="D1222">
        <v>57</v>
      </c>
      <c r="E1222">
        <v>44</v>
      </c>
      <c r="F1222">
        <v>13</v>
      </c>
      <c r="G1222">
        <v>3</v>
      </c>
      <c r="H1222" s="1">
        <v>8.1481481481481474E-3</v>
      </c>
      <c r="I1222">
        <v>2016</v>
      </c>
      <c r="J1222" t="s">
        <v>7</v>
      </c>
      <c r="K1222" s="2" t="str">
        <f>HYPERLINK("https://www.nba.com/stats/events?CFID=&amp;CFPARAMS=&amp;GameEventID=264&amp;GameID=0021600240&amp;Season=2016-17&amp;flag=1&amp;title=Green%2025'%203PT%20Jump%20Shot%20(6%20PTS)%20(Leonard%203%20AST)", "Green 25' 3PT Jump Shot (6 PTS) (Leonard 3 AST)")</f>
        <v>Green 25' 3PT Jump Shot (6 PTS) (Leonard 3 AST)</v>
      </c>
      <c r="L1222" s="2" t="str">
        <f>HYPERLINK("https://www.nba.com/game/...-vs-...-0021600240/play-by-play?watchFullGame=true", "SAS vs WAS - Q3 11:44.00")</f>
        <v>SAS vs WAS - Q3 11:44.00</v>
      </c>
      <c r="M1222">
        <v>25</v>
      </c>
      <c r="N1222">
        <v>205</v>
      </c>
      <c r="O1222">
        <v>139</v>
      </c>
      <c r="P1222">
        <v>205</v>
      </c>
      <c r="Q1222">
        <v>139</v>
      </c>
      <c r="R1222" t="s">
        <v>0</v>
      </c>
      <c r="S1222" t="s">
        <v>0</v>
      </c>
      <c r="T1222" t="s">
        <v>0</v>
      </c>
    </row>
    <row r="1223" spans="1:20" x14ac:dyDescent="0.25">
      <c r="A1223">
        <v>21600063</v>
      </c>
      <c r="B1223" t="s">
        <v>4</v>
      </c>
      <c r="C1223" t="s">
        <v>20</v>
      </c>
      <c r="D1223">
        <v>88</v>
      </c>
      <c r="E1223">
        <v>83</v>
      </c>
      <c r="F1223">
        <v>5</v>
      </c>
      <c r="G1223">
        <v>4</v>
      </c>
      <c r="H1223" s="1">
        <v>4.3518518518518515E-3</v>
      </c>
      <c r="I1223">
        <v>2016</v>
      </c>
      <c r="J1223" t="s">
        <v>12</v>
      </c>
      <c r="K1223" s="2" t="str">
        <f>HYPERLINK("https://www.nba.com/stats/events?CFID=&amp;CFPARAMS=&amp;GameEventID=471&amp;GameID=0021600063&amp;Season=2016-17&amp;flag=1&amp;title=Crabbe%201'%20Cutting%20Layup%20Shot%20(14%20PTS)%20(Leonard%203%20AST)", "Crabbe 1' Cutting Layup Shot (14 PTS) (Leonard 3 AST)")</f>
        <v>Crabbe 1' Cutting Layup Shot (14 PTS) (Leonard 3 AST)</v>
      </c>
      <c r="L1223" s="2" t="str">
        <f>HYPERLINK("https://www.nba.com/game/...-vs-...-0021600063/play-by-play?watchFullGame=true", "POR vs PHX - Q4 06:16.00")</f>
        <v>POR vs PHX - Q4 06:16.00</v>
      </c>
      <c r="M1223">
        <v>1</v>
      </c>
      <c r="N1223">
        <v>12</v>
      </c>
      <c r="O1223">
        <v>2</v>
      </c>
      <c r="P1223">
        <v>12</v>
      </c>
      <c r="Q1223">
        <v>2</v>
      </c>
      <c r="R1223" t="s">
        <v>0</v>
      </c>
      <c r="S1223" t="s">
        <v>0</v>
      </c>
      <c r="T1223" t="s">
        <v>0</v>
      </c>
    </row>
    <row r="1224" spans="1:20" x14ac:dyDescent="0.25">
      <c r="A1224">
        <v>21600182</v>
      </c>
      <c r="B1224" t="s">
        <v>10</v>
      </c>
      <c r="C1224" t="s">
        <v>9</v>
      </c>
      <c r="D1224">
        <v>78</v>
      </c>
      <c r="E1224">
        <v>66</v>
      </c>
      <c r="F1224">
        <v>12</v>
      </c>
      <c r="G1224">
        <v>3</v>
      </c>
      <c r="H1224" s="1">
        <v>3.2060185185185186E-3</v>
      </c>
      <c r="I1224">
        <v>2016</v>
      </c>
      <c r="J1224" t="s">
        <v>7</v>
      </c>
      <c r="K1224" s="2" t="str">
        <f>HYPERLINK("https://www.nba.com/stats/events?CFID=&amp;CFPARAMS=&amp;GameEventID=318&amp;GameID=0021600182&amp;Season=2016-17&amp;flag=1&amp;title=Ginobili%2025'%203PT%20Jump%20Shot%20(10%20PTS)%20(Leonard%206%20AST)", "Ginobili 25' 3PT Jump Shot (10 PTS) (Leonard 6 AST)")</f>
        <v>Ginobili 25' 3PT Jump Shot (10 PTS) (Leonard 6 AST)</v>
      </c>
      <c r="L1224" s="2" t="str">
        <f>HYPERLINK("https://www.nba.com/game/...-vs-...-0021600182/play-by-play?watchFullGame=true", "SAS vs LAL - Q3 04:37.00")</f>
        <v>SAS vs LAL - Q3 04:37.00</v>
      </c>
      <c r="M1224">
        <v>25</v>
      </c>
      <c r="N1224">
        <v>160</v>
      </c>
      <c r="O1224">
        <v>192</v>
      </c>
      <c r="P1224">
        <v>160</v>
      </c>
      <c r="Q1224">
        <v>192</v>
      </c>
      <c r="R1224" t="s">
        <v>0</v>
      </c>
      <c r="S1224" t="s">
        <v>0</v>
      </c>
      <c r="T1224" t="s">
        <v>0</v>
      </c>
    </row>
    <row r="1225" spans="1:20" x14ac:dyDescent="0.25">
      <c r="A1225">
        <v>21600240</v>
      </c>
      <c r="B1225" t="s">
        <v>4</v>
      </c>
      <c r="C1225" t="s">
        <v>9</v>
      </c>
      <c r="D1225">
        <v>53</v>
      </c>
      <c r="E1225">
        <v>38</v>
      </c>
      <c r="F1225">
        <v>15</v>
      </c>
      <c r="G1225">
        <v>2</v>
      </c>
      <c r="H1225" s="1">
        <v>1.0532407407407407E-3</v>
      </c>
      <c r="I1225">
        <v>2016</v>
      </c>
      <c r="J1225" t="s">
        <v>7</v>
      </c>
      <c r="K1225" s="2" t="str">
        <f>HYPERLINK("https://www.nba.com/stats/events?CFID=&amp;CFPARAMS=&amp;GameEventID=244&amp;GameID=0021600240&amp;Season=2016-17&amp;flag=1&amp;title=Aldridge%2020'%20Jump%20Shot%20(8%20PTS)%20(Leonard%202%20AST)", "Aldridge 20' Jump Shot (8 PTS) (Leonard 2 AST)")</f>
        <v>Aldridge 20' Jump Shot (8 PTS) (Leonard 2 AST)</v>
      </c>
      <c r="L1225" s="2" t="str">
        <f>HYPERLINK("https://www.nba.com/game/...-vs-...-0021600240/play-by-play?watchFullGame=true", "SAS vs WAS - Q2 01:31.00")</f>
        <v>SAS vs WAS - Q2 01:31.00</v>
      </c>
      <c r="M1225">
        <v>20</v>
      </c>
      <c r="N1225">
        <v>53</v>
      </c>
      <c r="O1225">
        <v>188</v>
      </c>
      <c r="P1225">
        <v>53</v>
      </c>
      <c r="Q1225">
        <v>188</v>
      </c>
      <c r="R1225" t="s">
        <v>0</v>
      </c>
      <c r="S1225" t="s">
        <v>0</v>
      </c>
      <c r="T1225" t="s">
        <v>0</v>
      </c>
    </row>
    <row r="1226" spans="1:20" x14ac:dyDescent="0.25">
      <c r="A1226">
        <v>21600458</v>
      </c>
      <c r="B1226" t="s">
        <v>4</v>
      </c>
      <c r="C1226" t="s">
        <v>38</v>
      </c>
      <c r="D1226">
        <v>32</v>
      </c>
      <c r="E1226">
        <v>18</v>
      </c>
      <c r="F1226">
        <v>14</v>
      </c>
      <c r="G1226">
        <v>1</v>
      </c>
      <c r="H1226" s="1">
        <v>1.2731481481481483E-3</v>
      </c>
      <c r="I1226">
        <v>2016</v>
      </c>
      <c r="J1226" t="s">
        <v>7</v>
      </c>
      <c r="K1226" s="2" t="str">
        <f>HYPERLINK("https://www.nba.com/stats/events?CFID=&amp;CFPARAMS=&amp;GameEventID=83&amp;GameID=0021600458&amp;Season=2016-17&amp;flag=1&amp;title=Lee%20%20Dunk%20(2%20PTS)%20(Leonard%203%20AST)", "Lee  Dunk (2 PTS) (Leonard 3 AST)")</f>
        <v>Lee  Dunk (2 PTS) (Leonard 3 AST)</v>
      </c>
      <c r="L1226" s="2" t="str">
        <f>HYPERLINK("https://www.nba.com/game/...-vs-...-0021600458/play-by-play?watchFullGame=true", "SAS vs CHI - Q1 01:50.00")</f>
        <v>SAS vs CHI - Q1 01:50.00</v>
      </c>
      <c r="M1226">
        <v>0</v>
      </c>
      <c r="N1226">
        <v>0</v>
      </c>
      <c r="O1226">
        <v>1</v>
      </c>
      <c r="P1226">
        <v>0</v>
      </c>
      <c r="Q1226">
        <v>1</v>
      </c>
      <c r="R1226" t="s">
        <v>0</v>
      </c>
      <c r="S1226" t="s">
        <v>0</v>
      </c>
      <c r="T1226" t="s">
        <v>0</v>
      </c>
    </row>
    <row r="1227" spans="1:20" x14ac:dyDescent="0.25">
      <c r="A1227">
        <v>21600575</v>
      </c>
      <c r="B1227" t="s">
        <v>10</v>
      </c>
      <c r="C1227" t="s">
        <v>9</v>
      </c>
      <c r="D1227">
        <v>107</v>
      </c>
      <c r="E1227">
        <v>105</v>
      </c>
      <c r="F1227">
        <v>2</v>
      </c>
      <c r="G1227">
        <v>4</v>
      </c>
      <c r="H1227" s="1">
        <v>9.2592592592592596E-4</v>
      </c>
      <c r="I1227">
        <v>2016</v>
      </c>
      <c r="J1227" t="s">
        <v>7</v>
      </c>
      <c r="K1227" s="2" t="str">
        <f>HYPERLINK("https://www.nba.com/stats/events?CFID=&amp;CFPARAMS=&amp;GameEventID=469&amp;GameID=0021600575&amp;Season=2016-17&amp;flag=1&amp;title=Green%2026'%203PT%20Jump%20Shot%20(14%20PTS)%20(Leonard%202%20AST)", "Green 26' 3PT Jump Shot (14 PTS) (Leonard 2 AST)")</f>
        <v>Green 26' 3PT Jump Shot (14 PTS) (Leonard 2 AST)</v>
      </c>
      <c r="L1227" s="2" t="str">
        <f>HYPERLINK("https://www.nba.com/game/...-vs-...-0021600575/play-by-play?watchFullGame=true", "SAS vs MIL - Q4 01:20.00")</f>
        <v>SAS vs MIL - Q4 01:20.00</v>
      </c>
      <c r="M1227">
        <v>26</v>
      </c>
      <c r="N1227">
        <v>153</v>
      </c>
      <c r="O1227">
        <v>208</v>
      </c>
      <c r="P1227">
        <v>153</v>
      </c>
      <c r="Q1227">
        <v>208</v>
      </c>
      <c r="R1227" t="s">
        <v>0</v>
      </c>
      <c r="S1227" t="s">
        <v>0</v>
      </c>
      <c r="T1227" t="s">
        <v>0</v>
      </c>
    </row>
    <row r="1228" spans="1:20" x14ac:dyDescent="0.25">
      <c r="A1228">
        <v>21600625</v>
      </c>
      <c r="B1228" t="s">
        <v>10</v>
      </c>
      <c r="C1228" t="s">
        <v>9</v>
      </c>
      <c r="D1228">
        <v>16</v>
      </c>
      <c r="E1228">
        <v>18</v>
      </c>
      <c r="F1228">
        <v>2</v>
      </c>
      <c r="G1228">
        <v>1</v>
      </c>
      <c r="H1228" s="1">
        <v>2.3958333333333331E-3</v>
      </c>
      <c r="I1228">
        <v>2016</v>
      </c>
      <c r="J1228" t="s">
        <v>7</v>
      </c>
      <c r="K1228" s="2" t="str">
        <f>HYPERLINK("https://www.nba.com/stats/events?CFID=&amp;CFPARAMS=&amp;GameEventID=71&amp;GameID=0021600625&amp;Season=2016-17&amp;flag=1&amp;title=Ginobili%2024'%203PT%20Jump%20Shot%20(6%20PTS)%20(Leonard%202%20AST)", "Ginobili 24' 3PT Jump Shot (6 PTS) (Leonard 2 AST)")</f>
        <v>Ginobili 24' 3PT Jump Shot (6 PTS) (Leonard 2 AST)</v>
      </c>
      <c r="L1228" s="2" t="str">
        <f>HYPERLINK("https://www.nba.com/game/...-vs-...-0021600625/play-by-play?watchFullGame=true", "SAS vs MIN - Q1 03:27.00")</f>
        <v>SAS vs MIN - Q1 03:27.00</v>
      </c>
      <c r="M1228">
        <v>24</v>
      </c>
      <c r="N1228">
        <v>-151</v>
      </c>
      <c r="O1228">
        <v>190</v>
      </c>
      <c r="P1228">
        <v>-151</v>
      </c>
      <c r="Q1228">
        <v>190</v>
      </c>
      <c r="R1228" t="s">
        <v>0</v>
      </c>
      <c r="S1228" t="s">
        <v>0</v>
      </c>
      <c r="T1228" t="s">
        <v>0</v>
      </c>
    </row>
    <row r="1229" spans="1:20" x14ac:dyDescent="0.25">
      <c r="A1229">
        <v>21600762</v>
      </c>
      <c r="B1229" t="s">
        <v>10</v>
      </c>
      <c r="C1229" t="s">
        <v>9</v>
      </c>
      <c r="D1229">
        <v>21</v>
      </c>
      <c r="E1229">
        <v>16</v>
      </c>
      <c r="F1229">
        <v>5</v>
      </c>
      <c r="G1229">
        <v>1</v>
      </c>
      <c r="H1229" s="1">
        <v>2.0601851851851853E-3</v>
      </c>
      <c r="I1229">
        <v>2016</v>
      </c>
      <c r="J1229" t="s">
        <v>7</v>
      </c>
      <c r="K1229" s="2" t="str">
        <f>HYPERLINK("https://www.nba.com/stats/events?CFID=&amp;CFPARAMS=&amp;GameEventID=96&amp;GameID=0021600762&amp;Season=2016-17&amp;flag=1&amp;title=Ginobili%2025'%203PT%20Jump%20Shot%20(3%20PTS)%20(Leonard%201%20AST)", "Ginobili 25' 3PT Jump Shot (3 PTS) (Leonard 1 AST)")</f>
        <v>Ginobili 25' 3PT Jump Shot (3 PTS) (Leonard 1 AST)</v>
      </c>
      <c r="L1229" s="2" t="str">
        <f>HYPERLINK("https://www.nba.com/game/...-vs-...-0021600762/play-by-play?watchFullGame=true", "SAS vs DEN - Q1 02:58.00")</f>
        <v>SAS vs DEN - Q1 02:58.00</v>
      </c>
      <c r="M1229">
        <v>25</v>
      </c>
      <c r="N1229">
        <v>40</v>
      </c>
      <c r="O1229">
        <v>242</v>
      </c>
      <c r="P1229">
        <v>40</v>
      </c>
      <c r="Q1229">
        <v>242</v>
      </c>
      <c r="R1229" t="s">
        <v>0</v>
      </c>
      <c r="S1229" t="s">
        <v>0</v>
      </c>
      <c r="T1229" t="s">
        <v>0</v>
      </c>
    </row>
    <row r="1230" spans="1:20" x14ac:dyDescent="0.25">
      <c r="A1230">
        <v>21600801</v>
      </c>
      <c r="B1230" t="s">
        <v>4</v>
      </c>
      <c r="C1230" t="s">
        <v>5</v>
      </c>
      <c r="D1230">
        <v>10</v>
      </c>
      <c r="E1230">
        <v>6</v>
      </c>
      <c r="F1230">
        <v>4</v>
      </c>
      <c r="G1230">
        <v>1</v>
      </c>
      <c r="H1230" s="1">
        <v>3.3101851851851851E-3</v>
      </c>
      <c r="I1230">
        <v>2016</v>
      </c>
      <c r="J1230" t="s">
        <v>7</v>
      </c>
      <c r="K1230" s="2" t="str">
        <f>HYPERLINK("https://www.nba.com/stats/events?CFID=&amp;CFPARAMS=&amp;GameEventID=56&amp;GameID=0021600801&amp;Season=2016-17&amp;flag=1&amp;title=Lee%201'%20Layup%20(2%20PTS)%20(Leonard%201%20AST)", "Lee 1' Layup (2 PTS) (Leonard 1 AST)")</f>
        <v>Lee 1' Layup (2 PTS) (Leonard 1 AST)</v>
      </c>
      <c r="L1230" s="2" t="str">
        <f>HYPERLINK("https://www.nba.com/game/...-vs-...-0021600801/play-by-play?watchFullGame=true", "SAS vs DET - Q1 04:46.00")</f>
        <v>SAS vs DET - Q1 04:46.00</v>
      </c>
      <c r="M1230">
        <v>1</v>
      </c>
      <c r="N1230">
        <v>-6</v>
      </c>
      <c r="O1230">
        <v>-5</v>
      </c>
      <c r="P1230">
        <v>-6</v>
      </c>
      <c r="Q1230">
        <v>-5</v>
      </c>
      <c r="R1230" t="s">
        <v>0</v>
      </c>
      <c r="S1230" t="s">
        <v>0</v>
      </c>
      <c r="T1230" t="s">
        <v>0</v>
      </c>
    </row>
    <row r="1231" spans="1:20" x14ac:dyDescent="0.25">
      <c r="A1231">
        <v>21500032</v>
      </c>
      <c r="B1231" t="s">
        <v>10</v>
      </c>
      <c r="C1231" t="s">
        <v>9</v>
      </c>
      <c r="D1231">
        <v>14</v>
      </c>
      <c r="E1231">
        <v>14</v>
      </c>
      <c r="F1231">
        <v>0</v>
      </c>
      <c r="G1231">
        <v>1</v>
      </c>
      <c r="H1231" s="1">
        <v>4.5138888888888885E-3</v>
      </c>
      <c r="I1231">
        <v>2015</v>
      </c>
      <c r="J1231" t="s">
        <v>12</v>
      </c>
      <c r="K1231" s="2" t="str">
        <f>HYPERLINK("https://www.nba.com/stats/events?CFID=&amp;CFPARAMS=&amp;GameEventID=48&amp;GameID=0021500032&amp;Season=2015-16&amp;flag=1&amp;title=Aminu%2024'%203PT%20Jump%20Shot%20(5%20PTS)%20(Leonard%202%20AST)", "Aminu 24' 3PT Jump Shot (5 PTS) (Leonard 2 AST)")</f>
        <v>Aminu 24' 3PT Jump Shot (5 PTS) (Leonard 2 AST)</v>
      </c>
      <c r="L1231" s="2" t="str">
        <f>HYPERLINK("https://www.nba.com/game/...-vs-...-0021500032/play-by-play?watchFullGame=true", "POR vs PHX - Q1 06:30.00")</f>
        <v>POR vs PHX - Q1 06:30.00</v>
      </c>
      <c r="M1231">
        <v>24</v>
      </c>
      <c r="N1231">
        <v>236</v>
      </c>
      <c r="O1231">
        <v>51</v>
      </c>
      <c r="P1231">
        <v>236</v>
      </c>
      <c r="Q1231">
        <v>51</v>
      </c>
      <c r="R1231" t="s">
        <v>0</v>
      </c>
      <c r="S1231" t="s">
        <v>0</v>
      </c>
      <c r="T1231" t="s">
        <v>0</v>
      </c>
    </row>
    <row r="1232" spans="1:20" x14ac:dyDescent="0.25">
      <c r="A1232">
        <v>21500040</v>
      </c>
      <c r="B1232" t="s">
        <v>4</v>
      </c>
      <c r="C1232" t="s">
        <v>9</v>
      </c>
      <c r="D1232">
        <v>79</v>
      </c>
      <c r="E1232">
        <v>72</v>
      </c>
      <c r="F1232">
        <v>7</v>
      </c>
      <c r="G1232">
        <v>4</v>
      </c>
      <c r="H1232" s="1">
        <v>3.4375E-3</v>
      </c>
      <c r="I1232">
        <v>2015</v>
      </c>
      <c r="J1232" t="s">
        <v>7</v>
      </c>
      <c r="K1232" s="2" t="str">
        <f>HYPERLINK("https://www.nba.com/stats/events?CFID=&amp;CFPARAMS=&amp;GameEventID=517&amp;GameID=0021500040&amp;Season=2015-16&amp;flag=1&amp;title=Aldridge%2015'%20Jump%20Shot%20(18%20PTS)%20(Leonard%202%20AST)", "Aldridge 15' Jump Shot (18 PTS) (Leonard 2 AST)")</f>
        <v>Aldridge 15' Jump Shot (18 PTS) (Leonard 2 AST)</v>
      </c>
      <c r="L1232" s="2" t="str">
        <f>HYPERLINK("https://www.nba.com/game/...-vs-...-0021500040/play-by-play?watchFullGame=true", "SAS vs BOS - Q4 04:57.00")</f>
        <v>SAS vs BOS - Q4 04:57.00</v>
      </c>
      <c r="M1232">
        <v>15</v>
      </c>
      <c r="N1232">
        <v>-151</v>
      </c>
      <c r="O1232">
        <v>7</v>
      </c>
      <c r="P1232">
        <v>-151</v>
      </c>
      <c r="Q1232">
        <v>7</v>
      </c>
      <c r="R1232" t="s">
        <v>0</v>
      </c>
      <c r="S1232" t="s">
        <v>0</v>
      </c>
      <c r="T1232" t="s">
        <v>0</v>
      </c>
    </row>
    <row r="1233" spans="1:20" x14ac:dyDescent="0.25">
      <c r="A1233">
        <v>21500102</v>
      </c>
      <c r="B1233" t="s">
        <v>10</v>
      </c>
      <c r="C1233" t="s">
        <v>9</v>
      </c>
      <c r="D1233">
        <v>14</v>
      </c>
      <c r="E1233">
        <v>11</v>
      </c>
      <c r="F1233">
        <v>3</v>
      </c>
      <c r="G1233">
        <v>1</v>
      </c>
      <c r="H1233" s="1">
        <v>4.5717592592592589E-3</v>
      </c>
      <c r="I1233">
        <v>2015</v>
      </c>
      <c r="J1233" t="s">
        <v>12</v>
      </c>
      <c r="K1233" s="2" t="str">
        <f>HYPERLINK("https://www.nba.com/stats/events?CFID=&amp;CFPARAMS=&amp;GameEventID=51&amp;GameID=0021500102&amp;Season=2015-16&amp;flag=1&amp;title=Aminu%2025'%203PT%20Jump%20Shot%20(3%20PTS)%20(Leonard%201%20AST)", "Aminu 25' 3PT Jump Shot (3 PTS) (Leonard 1 AST)")</f>
        <v>Aminu 25' 3PT Jump Shot (3 PTS) (Leonard 1 AST)</v>
      </c>
      <c r="L1233" s="2" t="str">
        <f>HYPERLINK("https://www.nba.com/game/...-vs-...-0021500102/play-by-play?watchFullGame=true", "POR vs DEN - Q1 06:35.00")</f>
        <v>POR vs DEN - Q1 06:35.00</v>
      </c>
      <c r="M1233">
        <v>25</v>
      </c>
      <c r="N1233">
        <v>-83</v>
      </c>
      <c r="O1233">
        <v>232</v>
      </c>
      <c r="P1233">
        <v>-83</v>
      </c>
      <c r="Q1233">
        <v>232</v>
      </c>
      <c r="R1233" t="s">
        <v>0</v>
      </c>
      <c r="S1233" t="s">
        <v>0</v>
      </c>
      <c r="T1233" t="s">
        <v>0</v>
      </c>
    </row>
    <row r="1234" spans="1:20" x14ac:dyDescent="0.25">
      <c r="A1234">
        <v>21500172</v>
      </c>
      <c r="B1234" t="s">
        <v>4</v>
      </c>
      <c r="C1234" t="s">
        <v>9</v>
      </c>
      <c r="D1234">
        <v>79</v>
      </c>
      <c r="E1234">
        <v>66</v>
      </c>
      <c r="F1234">
        <v>13</v>
      </c>
      <c r="G1234">
        <v>3</v>
      </c>
      <c r="H1234" s="1">
        <v>4.6296296296296294E-3</v>
      </c>
      <c r="I1234">
        <v>2015</v>
      </c>
      <c r="J1234" t="s">
        <v>7</v>
      </c>
      <c r="K1234" s="2" t="str">
        <f>HYPERLINK("https://www.nba.com/stats/events?CFID=&amp;CFPARAMS=&amp;GameEventID=304&amp;GameID=0021500172&amp;Season=2015-16&amp;flag=1&amp;title=Aldridge%2020'%20Jump%20Shot%20(9%20PTS)%20(Leonard%202%20AST)", "Aldridge 20' Jump Shot (9 PTS) (Leonard 2 AST)")</f>
        <v>Aldridge 20' Jump Shot (9 PTS) (Leonard 2 AST)</v>
      </c>
      <c r="L1234" s="2" t="str">
        <f>HYPERLINK("https://www.nba.com/game/...-vs-...-0021500172/play-by-play?watchFullGame=true", "SAS vs DEN - Q3 06:40.00")</f>
        <v>SAS vs DEN - Q3 06:40.00</v>
      </c>
      <c r="M1234">
        <v>20</v>
      </c>
      <c r="N1234">
        <v>-9</v>
      </c>
      <c r="O1234">
        <v>200</v>
      </c>
      <c r="P1234">
        <v>-9</v>
      </c>
      <c r="Q1234">
        <v>200</v>
      </c>
      <c r="R1234" t="s">
        <v>0</v>
      </c>
      <c r="S1234" t="s">
        <v>0</v>
      </c>
      <c r="T1234" t="s">
        <v>0</v>
      </c>
    </row>
    <row r="1235" spans="1:20" x14ac:dyDescent="0.25">
      <c r="A1235">
        <v>21500352</v>
      </c>
      <c r="B1235" t="s">
        <v>4</v>
      </c>
      <c r="C1235" t="s">
        <v>9</v>
      </c>
      <c r="D1235">
        <v>75</v>
      </c>
      <c r="E1235">
        <v>72</v>
      </c>
      <c r="F1235">
        <v>3</v>
      </c>
      <c r="G1235">
        <v>3</v>
      </c>
      <c r="H1235" s="1">
        <v>2.1527777777777778E-3</v>
      </c>
      <c r="I1235">
        <v>2015</v>
      </c>
      <c r="J1235" t="s">
        <v>12</v>
      </c>
      <c r="K1235" s="2" t="str">
        <f>HYPERLINK("https://www.nba.com/stats/events?CFID=&amp;CFPARAMS=&amp;GameEventID=350&amp;GameID=0021500352&amp;Season=2015-16&amp;flag=1&amp;title=Crabbe%2021'%20Jump%20Shot%20(9%20PTS)%20(Leonard%203%20AST)", "Crabbe 21' Jump Shot (9 PTS) (Leonard 3 AST)")</f>
        <v>Crabbe 21' Jump Shot (9 PTS) (Leonard 3 AST)</v>
      </c>
      <c r="L1235" s="2" t="str">
        <f>HYPERLINK("https://www.nba.com/game/...-vs-...-0021500352/play-by-play?watchFullGame=true", "POR vs NYK - Q3 03:06.00")</f>
        <v>POR vs NYK - Q3 03:06.00</v>
      </c>
      <c r="M1235">
        <v>21</v>
      </c>
      <c r="N1235">
        <v>-78</v>
      </c>
      <c r="O1235">
        <v>198</v>
      </c>
      <c r="P1235">
        <v>-78</v>
      </c>
      <c r="Q1235">
        <v>198</v>
      </c>
      <c r="R1235" t="s">
        <v>0</v>
      </c>
      <c r="S1235" t="s">
        <v>0</v>
      </c>
      <c r="T1235" t="s">
        <v>0</v>
      </c>
    </row>
    <row r="1236" spans="1:20" x14ac:dyDescent="0.25">
      <c r="A1236">
        <v>21500548</v>
      </c>
      <c r="B1236" t="s">
        <v>4</v>
      </c>
      <c r="C1236" t="s">
        <v>19</v>
      </c>
      <c r="D1236">
        <v>82</v>
      </c>
      <c r="E1236">
        <v>101</v>
      </c>
      <c r="F1236">
        <v>19</v>
      </c>
      <c r="G1236">
        <v>3</v>
      </c>
      <c r="H1236" s="1">
        <v>1.4814814814814814E-3</v>
      </c>
      <c r="I1236">
        <v>2015</v>
      </c>
      <c r="J1236" t="s">
        <v>12</v>
      </c>
      <c r="K1236" s="2" t="str">
        <f>HYPERLINK("https://www.nba.com/stats/events?CFID=&amp;CFPARAMS=&amp;GameEventID=394&amp;GameID=0021500548&amp;Season=2015-16&amp;flag=1&amp;title=Crabbe%2021'%20Pullup%20Jump%20Shot%20(10%20PTS)%20(Leonard%201%20AST)", "Crabbe 21' Pullup Jump Shot (10 PTS) (Leonard 1 AST)")</f>
        <v>Crabbe 21' Pullup Jump Shot (10 PTS) (Leonard 1 AST)</v>
      </c>
      <c r="L1236" s="2" t="str">
        <f>HYPERLINK("https://www.nba.com/game/...-vs-...-0021500548/play-by-play?watchFullGame=true", "POR vs GSW - Q3 02:08.00")</f>
        <v>POR vs GSW - Q3 02:08.00</v>
      </c>
      <c r="M1236">
        <v>21</v>
      </c>
      <c r="N1236">
        <v>-148</v>
      </c>
      <c r="O1236">
        <v>151</v>
      </c>
      <c r="P1236">
        <v>-148</v>
      </c>
      <c r="Q1236">
        <v>151</v>
      </c>
      <c r="R1236" t="s">
        <v>0</v>
      </c>
      <c r="S1236" t="s">
        <v>0</v>
      </c>
      <c r="T1236" t="s">
        <v>0</v>
      </c>
    </row>
    <row r="1237" spans="1:20" x14ac:dyDescent="0.25">
      <c r="A1237">
        <v>21500590</v>
      </c>
      <c r="B1237" t="s">
        <v>4</v>
      </c>
      <c r="C1237" t="s">
        <v>24</v>
      </c>
      <c r="D1237">
        <v>34</v>
      </c>
      <c r="E1237">
        <v>41</v>
      </c>
      <c r="F1237">
        <v>7</v>
      </c>
      <c r="G1237">
        <v>2</v>
      </c>
      <c r="H1237" s="1">
        <v>4.178240740740741E-3</v>
      </c>
      <c r="I1237">
        <v>2015</v>
      </c>
      <c r="J1237" t="s">
        <v>7</v>
      </c>
      <c r="K1237" s="2" t="str">
        <f>HYPERLINK("https://www.nba.com/stats/events?CFID=&amp;CFPARAMS=&amp;GameEventID=194&amp;GameID=0021500590&amp;Season=2015-16&amp;flag=1&amp;title=Parker%201'%20Cutting%20Finger%20Roll%20Layup%20Shot%20(8%20PTS)%20(Leonard%201%20AST)", "Parker 1' Cutting Finger Roll Layup Shot (8 PTS) (Leonard 1 AST)")</f>
        <v>Parker 1' Cutting Finger Roll Layup Shot (8 PTS) (Leonard 1 AST)</v>
      </c>
      <c r="L1237" s="2" t="str">
        <f>HYPERLINK("https://www.nba.com/game/...-vs-...-0021500590/play-by-play?watchFullGame=true", "SAS vs CLE - Q2 06:01.00")</f>
        <v>SAS vs CLE - Q2 06:01.00</v>
      </c>
      <c r="M1237">
        <v>1</v>
      </c>
      <c r="N1237">
        <v>9</v>
      </c>
      <c r="O1237">
        <v>-11</v>
      </c>
      <c r="P1237">
        <v>9</v>
      </c>
      <c r="Q1237">
        <v>-11</v>
      </c>
      <c r="R1237" t="s">
        <v>0</v>
      </c>
      <c r="S1237" t="s">
        <v>0</v>
      </c>
      <c r="T1237" t="s">
        <v>0</v>
      </c>
    </row>
    <row r="1238" spans="1:20" x14ac:dyDescent="0.25">
      <c r="A1238">
        <v>21500644</v>
      </c>
      <c r="B1238" t="s">
        <v>10</v>
      </c>
      <c r="C1238" t="s">
        <v>9</v>
      </c>
      <c r="D1238">
        <v>93</v>
      </c>
      <c r="E1238">
        <v>74</v>
      </c>
      <c r="F1238">
        <v>19</v>
      </c>
      <c r="G1238">
        <v>4</v>
      </c>
      <c r="H1238" s="1">
        <v>5.3356481481481484E-3</v>
      </c>
      <c r="I1238">
        <v>2015</v>
      </c>
      <c r="J1238" t="s">
        <v>7</v>
      </c>
      <c r="K1238" s="2" t="str">
        <f>HYPERLINK("https://www.nba.com/stats/events?CFID=&amp;CFPARAMS=&amp;GameEventID=441&amp;GameID=0021500644&amp;Season=2015-16&amp;flag=1&amp;title=Bonner%2025'%203PT%20Jump%20Shot%20(3%20PTS)%20(Leonard%203%20AST)", "Bonner 25' 3PT Jump Shot (3 PTS) (Leonard 3 AST)")</f>
        <v>Bonner 25' 3PT Jump Shot (3 PTS) (Leonard 3 AST)</v>
      </c>
      <c r="L1238" s="2" t="str">
        <f>HYPERLINK("https://www.nba.com/game/...-vs-...-0021500644/play-by-play?watchFullGame=true", "SAS vs PHX - Q4 07:41.00")</f>
        <v>SAS vs PHX - Q4 07:41.00</v>
      </c>
      <c r="M1238">
        <v>25</v>
      </c>
      <c r="N1238">
        <v>-48</v>
      </c>
      <c r="O1238">
        <v>242</v>
      </c>
      <c r="P1238">
        <v>-48</v>
      </c>
      <c r="Q1238">
        <v>242</v>
      </c>
      <c r="R1238" t="s">
        <v>0</v>
      </c>
      <c r="S1238" t="s">
        <v>0</v>
      </c>
      <c r="T1238" t="s">
        <v>0</v>
      </c>
    </row>
    <row r="1239" spans="1:20" x14ac:dyDescent="0.25">
      <c r="A1239">
        <v>21500639</v>
      </c>
      <c r="B1239" t="s">
        <v>10</v>
      </c>
      <c r="C1239" t="s">
        <v>9</v>
      </c>
      <c r="D1239">
        <v>78</v>
      </c>
      <c r="E1239">
        <v>79</v>
      </c>
      <c r="F1239">
        <v>1</v>
      </c>
      <c r="G1239">
        <v>4</v>
      </c>
      <c r="H1239" s="1">
        <v>6.7361111111111111E-3</v>
      </c>
      <c r="I1239">
        <v>2015</v>
      </c>
      <c r="J1239" t="s">
        <v>12</v>
      </c>
      <c r="K1239" s="2" t="str">
        <f>HYPERLINK("https://www.nba.com/stats/events?CFID=&amp;CFPARAMS=&amp;GameEventID=401&amp;GameID=0021500639&amp;Season=2015-16&amp;flag=1&amp;title=Lillard%2024'%203PT%20Jump%20Shot%20(11%20PTS)%20(Leonard%202%20AST)", "Lillard 24' 3PT Jump Shot (11 PTS) (Leonard 2 AST)")</f>
        <v>Lillard 24' 3PT Jump Shot (11 PTS) (Leonard 2 AST)</v>
      </c>
      <c r="L1239" s="2" t="str">
        <f>HYPERLINK("https://www.nba.com/game/...-vs-...-0021500639/play-by-play?watchFullGame=true", "POR vs ATL - Q4 09:42.00")</f>
        <v>POR vs ATL - Q4 09:42.00</v>
      </c>
      <c r="M1239">
        <v>24</v>
      </c>
      <c r="N1239">
        <v>71</v>
      </c>
      <c r="O1239">
        <v>229</v>
      </c>
      <c r="P1239">
        <v>71</v>
      </c>
      <c r="Q1239">
        <v>229</v>
      </c>
      <c r="R1239" t="s">
        <v>0</v>
      </c>
      <c r="S1239" t="s">
        <v>0</v>
      </c>
      <c r="T1239" t="s">
        <v>0</v>
      </c>
    </row>
    <row r="1240" spans="1:20" x14ac:dyDescent="0.25">
      <c r="A1240">
        <v>21500653</v>
      </c>
      <c r="B1240" t="s">
        <v>4</v>
      </c>
      <c r="C1240" t="s">
        <v>36</v>
      </c>
      <c r="D1240">
        <v>54</v>
      </c>
      <c r="E1240">
        <v>43</v>
      </c>
      <c r="F1240">
        <v>11</v>
      </c>
      <c r="G1240">
        <v>2</v>
      </c>
      <c r="H1240" s="1">
        <v>9.3749999999999997E-4</v>
      </c>
      <c r="I1240">
        <v>2015</v>
      </c>
      <c r="J1240" t="s">
        <v>7</v>
      </c>
      <c r="K1240" s="2" t="str">
        <f>HYPERLINK("https://www.nba.com/stats/events?CFID=&amp;CFPARAMS=&amp;GameEventID=219&amp;GameID=0021500653&amp;Season=2015-16&amp;flag=1&amp;title=Parker%203'%20Running%20Layup%20(4%20PTS)%20(Leonard%202%20AST)", "Parker 3' Running Layup (4 PTS) (Leonard 2 AST)")</f>
        <v>Parker 3' Running Layup (4 PTS) (Leonard 2 AST)</v>
      </c>
      <c r="L1240" s="2" t="str">
        <f>HYPERLINK("https://www.nba.com/game/...-vs-...-0021500653/play-by-play?watchFullGame=true", "SAS vs LAL - Q2 01:21.00")</f>
        <v>SAS vs LAL - Q2 01:21.00</v>
      </c>
      <c r="M1240">
        <v>3</v>
      </c>
      <c r="N1240">
        <v>-25</v>
      </c>
      <c r="O1240">
        <v>18</v>
      </c>
      <c r="P1240">
        <v>-25</v>
      </c>
      <c r="Q1240">
        <v>18</v>
      </c>
      <c r="R1240" t="s">
        <v>0</v>
      </c>
      <c r="S1240" t="s">
        <v>0</v>
      </c>
      <c r="T1240" t="s">
        <v>0</v>
      </c>
    </row>
    <row r="1241" spans="1:20" x14ac:dyDescent="0.25">
      <c r="A1241">
        <v>21500733</v>
      </c>
      <c r="B1241" t="s">
        <v>4</v>
      </c>
      <c r="C1241" t="s">
        <v>36</v>
      </c>
      <c r="D1241">
        <v>72</v>
      </c>
      <c r="E1241">
        <v>66</v>
      </c>
      <c r="F1241">
        <v>6</v>
      </c>
      <c r="G1241">
        <v>3</v>
      </c>
      <c r="H1241" s="1">
        <v>2.0717592592592593E-3</v>
      </c>
      <c r="I1241">
        <v>2015</v>
      </c>
      <c r="J1241" t="s">
        <v>12</v>
      </c>
      <c r="K1241" s="2" t="str">
        <f>HYPERLINK("https://www.nba.com/stats/events?CFID=&amp;CFPARAMS=&amp;GameEventID=364&amp;GameID=0021500733&amp;Season=2015-16&amp;flag=1&amp;title=McCollum%201'%20Running%20Layup%20(22%20PTS)%20(Leonard%201%20AST)", "McCollum 1' Running Layup (22 PTS) (Leonard 1 AST)")</f>
        <v>McCollum 1' Running Layup (22 PTS) (Leonard 1 AST)</v>
      </c>
      <c r="L1241" s="2" t="str">
        <f>HYPERLINK("https://www.nba.com/game/...-vs-...-0021500733/play-by-play?watchFullGame=true", "POR vs MIL - Q3 02:59.00")</f>
        <v>POR vs MIL - Q3 02:59.00</v>
      </c>
      <c r="M1241">
        <v>1</v>
      </c>
      <c r="N1241">
        <v>-14</v>
      </c>
      <c r="O1241">
        <v>-1</v>
      </c>
      <c r="P1241">
        <v>-14</v>
      </c>
      <c r="Q1241">
        <v>-1</v>
      </c>
      <c r="R1241" t="s">
        <v>0</v>
      </c>
      <c r="S1241" t="s">
        <v>0</v>
      </c>
      <c r="T1241" t="s">
        <v>0</v>
      </c>
    </row>
    <row r="1242" spans="1:20" x14ac:dyDescent="0.25">
      <c r="A1242">
        <v>21500939</v>
      </c>
      <c r="B1242" t="s">
        <v>4</v>
      </c>
      <c r="C1242" t="s">
        <v>19</v>
      </c>
      <c r="D1242">
        <v>68</v>
      </c>
      <c r="E1242">
        <v>82</v>
      </c>
      <c r="F1242">
        <v>14</v>
      </c>
      <c r="G1242">
        <v>4</v>
      </c>
      <c r="H1242" s="1">
        <v>6.4814814814814813E-3</v>
      </c>
      <c r="I1242">
        <v>2015</v>
      </c>
      <c r="J1242" t="s">
        <v>7</v>
      </c>
      <c r="K1242" s="2" t="str">
        <f>HYPERLINK("https://www.nba.com/stats/events?CFID=&amp;CFPARAMS=&amp;GameEventID=412&amp;GameID=0021500939&amp;Season=2015-16&amp;flag=1&amp;title=Aldridge%209'%20Pullup%20Jump%20Shot%20(18%20PTS)%20(Leonard%201%20AST)", "Aldridge 9' Pullup Jump Shot (18 PTS) (Leonard 1 AST)")</f>
        <v>Aldridge 9' Pullup Jump Shot (18 PTS) (Leonard 1 AST)</v>
      </c>
      <c r="L1242" s="2" t="str">
        <f>HYPERLINK("https://www.nba.com/game/...-vs-...-0021500939/play-by-play?watchFullGame=true", "SAS vs IND - Q4 09:20.00")</f>
        <v>SAS vs IND - Q4 09:20.00</v>
      </c>
      <c r="M1242">
        <v>9</v>
      </c>
      <c r="N1242">
        <v>-32</v>
      </c>
      <c r="O1242">
        <v>82</v>
      </c>
      <c r="P1242">
        <v>-32</v>
      </c>
      <c r="Q1242">
        <v>82</v>
      </c>
      <c r="R1242" t="s">
        <v>0</v>
      </c>
      <c r="S1242" t="s">
        <v>0</v>
      </c>
      <c r="T1242" t="s">
        <v>0</v>
      </c>
    </row>
    <row r="1243" spans="1:20" x14ac:dyDescent="0.25">
      <c r="A1243">
        <v>21500971</v>
      </c>
      <c r="B1243" t="s">
        <v>10</v>
      </c>
      <c r="C1243" t="s">
        <v>9</v>
      </c>
      <c r="D1243">
        <v>27</v>
      </c>
      <c r="E1243">
        <v>38</v>
      </c>
      <c r="F1243">
        <v>11</v>
      </c>
      <c r="G1243">
        <v>1</v>
      </c>
      <c r="H1243" s="1">
        <v>6.8171296296296296E-4</v>
      </c>
      <c r="I1243">
        <v>2015</v>
      </c>
      <c r="J1243" t="s">
        <v>12</v>
      </c>
      <c r="K1243" s="2" t="str">
        <f>HYPERLINK("https://www.nba.com/stats/events?CFID=&amp;CFPARAMS=&amp;GameEventID=103&amp;GameID=0021500971&amp;Season=2015-16&amp;flag=1&amp;title=Henderson%2027'%203PT%20Jump%20Shot%20(9%20PTS)%20(Leonard%201%20AST)", "Henderson 27' 3PT Jump Shot (9 PTS) (Leonard 1 AST)")</f>
        <v>Henderson 27' 3PT Jump Shot (9 PTS) (Leonard 1 AST)</v>
      </c>
      <c r="L1243" s="2" t="str">
        <f>HYPERLINK("https://www.nba.com/game/...-vs-...-0021500971/play-by-play?watchFullGame=true", "POR vs GSW - Q1 00:58.90")</f>
        <v>POR vs GSW - Q1 00:58.90</v>
      </c>
      <c r="M1243">
        <v>27</v>
      </c>
      <c r="N1243">
        <v>-197</v>
      </c>
      <c r="O1243">
        <v>183</v>
      </c>
      <c r="P1243">
        <v>-197</v>
      </c>
      <c r="Q1243">
        <v>183</v>
      </c>
      <c r="R1243" t="s">
        <v>0</v>
      </c>
      <c r="S1243" t="s">
        <v>0</v>
      </c>
      <c r="T1243" t="s">
        <v>0</v>
      </c>
    </row>
    <row r="1244" spans="1:20" x14ac:dyDescent="0.25">
      <c r="A1244">
        <v>21500979</v>
      </c>
      <c r="B1244" t="s">
        <v>4</v>
      </c>
      <c r="C1244" t="s">
        <v>9</v>
      </c>
      <c r="D1244">
        <v>18</v>
      </c>
      <c r="E1244">
        <v>14</v>
      </c>
      <c r="F1244">
        <v>4</v>
      </c>
      <c r="G1244">
        <v>1</v>
      </c>
      <c r="H1244" s="1">
        <v>3.7037037037037038E-3</v>
      </c>
      <c r="I1244">
        <v>2015</v>
      </c>
      <c r="J1244" t="s">
        <v>7</v>
      </c>
      <c r="K1244" s="2" t="str">
        <f>HYPERLINK("https://www.nba.com/stats/events?CFID=&amp;CFPARAMS=&amp;GameEventID=58&amp;GameID=0021500979&amp;Season=2015-16&amp;flag=1&amp;title=Aldridge%2019'%20Jump%20Shot%20(8%20PTS)%20(Leonard%201%20AST)", "Aldridge 19' Jump Shot (8 PTS) (Leonard 1 AST)")</f>
        <v>Aldridge 19' Jump Shot (8 PTS) (Leonard 1 AST)</v>
      </c>
      <c r="L1244" s="2" t="str">
        <f>HYPERLINK("https://www.nba.com/game/...-vs-...-0021500979/play-by-play?watchFullGame=true", "SAS vs OKC - Q1 05:20.00")</f>
        <v>SAS vs OKC - Q1 05:20.00</v>
      </c>
      <c r="M1244">
        <v>19</v>
      </c>
      <c r="N1244">
        <v>117</v>
      </c>
      <c r="O1244">
        <v>149</v>
      </c>
      <c r="P1244">
        <v>117</v>
      </c>
      <c r="Q1244">
        <v>149</v>
      </c>
      <c r="R1244" t="s">
        <v>0</v>
      </c>
      <c r="S1244" t="s">
        <v>0</v>
      </c>
      <c r="T1244" t="s">
        <v>0</v>
      </c>
    </row>
    <row r="1245" spans="1:20" x14ac:dyDescent="0.25">
      <c r="A1245">
        <v>21501001</v>
      </c>
      <c r="B1245" t="s">
        <v>4</v>
      </c>
      <c r="C1245" t="s">
        <v>5</v>
      </c>
      <c r="D1245">
        <v>31</v>
      </c>
      <c r="E1245">
        <v>22</v>
      </c>
      <c r="F1245">
        <v>9</v>
      </c>
      <c r="G1245">
        <v>2</v>
      </c>
      <c r="H1245" s="1">
        <v>6.145833333333333E-3</v>
      </c>
      <c r="I1245">
        <v>2015</v>
      </c>
      <c r="J1245" t="s">
        <v>7</v>
      </c>
      <c r="K1245" s="2" t="str">
        <f>HYPERLINK("https://www.nba.com/stats/events?CFID=&amp;CFPARAMS=&amp;GameEventID=155&amp;GameID=0021501001&amp;Season=2015-16&amp;flag=1&amp;title=Duncan%202'%20Layup%20(2%20PTS)%20(Leonard%202%20AST)", "Duncan 2' Layup (2 PTS) (Leonard 2 AST)")</f>
        <v>Duncan 2' Layup (2 PTS) (Leonard 2 AST)</v>
      </c>
      <c r="L1245" s="2" t="str">
        <f>HYPERLINK("https://www.nba.com/game/...-vs-...-0021501001/play-by-play?watchFullGame=true", "SAS vs LAC - Q2 08:51.00")</f>
        <v>SAS vs LAC - Q2 08:51.00</v>
      </c>
      <c r="M1245">
        <v>2</v>
      </c>
      <c r="N1245">
        <v>12</v>
      </c>
      <c r="O1245">
        <v>11</v>
      </c>
      <c r="P1245">
        <v>12</v>
      </c>
      <c r="Q1245">
        <v>11</v>
      </c>
      <c r="R1245" t="s">
        <v>0</v>
      </c>
      <c r="S1245" t="s">
        <v>0</v>
      </c>
      <c r="T1245" t="s">
        <v>0</v>
      </c>
    </row>
    <row r="1246" spans="1:20" x14ac:dyDescent="0.25">
      <c r="A1246">
        <v>21501140</v>
      </c>
      <c r="B1246" t="s">
        <v>4</v>
      </c>
      <c r="C1246" t="s">
        <v>9</v>
      </c>
      <c r="D1246">
        <v>82</v>
      </c>
      <c r="E1246">
        <v>76</v>
      </c>
      <c r="F1246">
        <v>6</v>
      </c>
      <c r="G1246">
        <v>4</v>
      </c>
      <c r="H1246" s="1">
        <v>4.6527777777777774E-3</v>
      </c>
      <c r="I1246">
        <v>2015</v>
      </c>
      <c r="J1246" t="s">
        <v>7</v>
      </c>
      <c r="K1246" s="2" t="str">
        <f>HYPERLINK("https://www.nba.com/stats/events?CFID=&amp;CFPARAMS=&amp;GameEventID=384&amp;GameID=0021501140&amp;Season=2015-16&amp;flag=1&amp;title=Aldridge%2020'%20Jump%20Shot%20(31%20PTS)%20(Leonard%207%20AST)", "Aldridge 20' Jump Shot (31 PTS) (Leonard 7 AST)")</f>
        <v>Aldridge 20' Jump Shot (31 PTS) (Leonard 7 AST)</v>
      </c>
      <c r="L1246" s="2" t="str">
        <f>HYPERLINK("https://www.nba.com/game/...-vs-...-0021501140/play-by-play?watchFullGame=true", "SAS vs TOR - Q4 06:42.00")</f>
        <v>SAS vs TOR - Q4 06:42.00</v>
      </c>
      <c r="M1246">
        <v>20</v>
      </c>
      <c r="N1246">
        <v>51</v>
      </c>
      <c r="O1246">
        <v>198</v>
      </c>
      <c r="P1246">
        <v>51</v>
      </c>
      <c r="Q1246">
        <v>198</v>
      </c>
      <c r="R1246" t="s">
        <v>0</v>
      </c>
      <c r="S1246" t="s">
        <v>0</v>
      </c>
      <c r="T1246" t="s">
        <v>0</v>
      </c>
    </row>
    <row r="1247" spans="1:20" x14ac:dyDescent="0.25">
      <c r="A1247">
        <v>21401146</v>
      </c>
      <c r="B1247" t="s">
        <v>10</v>
      </c>
      <c r="C1247" t="s">
        <v>9</v>
      </c>
      <c r="D1247">
        <v>33</v>
      </c>
      <c r="E1247">
        <v>28</v>
      </c>
      <c r="F1247">
        <v>5</v>
      </c>
      <c r="G1247">
        <v>2</v>
      </c>
      <c r="H1247" s="1">
        <v>6.4814814814814813E-3</v>
      </c>
      <c r="I1247">
        <v>2014</v>
      </c>
      <c r="J1247" t="s">
        <v>12</v>
      </c>
      <c r="K1247" s="2" t="str">
        <f>HYPERLINK("https://www.nba.com/stats/events?CFID=&amp;CFPARAMS=&amp;GameEventID=142&amp;GameID=0021401146&amp;Season=2014-15&amp;flag=1&amp;title=Blake%2024'%203PT%20Jump%20Shot%20(5%20PTS)%20(Leonard%201%20AST)", "Blake 24' 3PT Jump Shot (5 PTS) (Leonard 1 AST)")</f>
        <v>Blake 24' 3PT Jump Shot (5 PTS) (Leonard 1 AST)</v>
      </c>
      <c r="L1247" s="2" t="str">
        <f>HYPERLINK("https://www.nba.com/game/...-vs-...-0021401146/play-by-play?watchFullGame=true", "POR vs NOP - Q2 09:20.00")</f>
        <v>POR vs NOP - Q2 09:20.00</v>
      </c>
      <c r="M1247">
        <v>24</v>
      </c>
      <c r="N1247">
        <v>236</v>
      </c>
      <c r="O1247">
        <v>-19</v>
      </c>
      <c r="P1247">
        <v>236</v>
      </c>
      <c r="Q1247">
        <v>-19</v>
      </c>
      <c r="R1247" t="s">
        <v>0</v>
      </c>
      <c r="S1247" t="s">
        <v>0</v>
      </c>
      <c r="T1247" t="s">
        <v>0</v>
      </c>
    </row>
    <row r="1248" spans="1:20" x14ac:dyDescent="0.25">
      <c r="A1248">
        <v>21401172</v>
      </c>
      <c r="B1248" t="s">
        <v>10</v>
      </c>
      <c r="C1248" t="s">
        <v>9</v>
      </c>
      <c r="D1248">
        <v>39</v>
      </c>
      <c r="E1248">
        <v>26</v>
      </c>
      <c r="F1248">
        <v>13</v>
      </c>
      <c r="G1248">
        <v>2</v>
      </c>
      <c r="H1248" s="1">
        <v>5.0578703703703706E-3</v>
      </c>
      <c r="I1248">
        <v>2014</v>
      </c>
      <c r="J1248" t="s">
        <v>12</v>
      </c>
      <c r="K1248" s="2" t="str">
        <f>HYPERLINK("https://www.nba.com/stats/events?CFID=&amp;CFPARAMS=&amp;GameEventID=153&amp;GameID=0021401172&amp;Season=2014-15&amp;flag=1&amp;title=Lillard%2026'%203PT%20Jump%20Shot%20(6%20PTS)%20(Leonard%201%20AST)", "Lillard 26' 3PT Jump Shot (6 PTS) (Leonard 1 AST)")</f>
        <v>Lillard 26' 3PT Jump Shot (6 PTS) (Leonard 1 AST)</v>
      </c>
      <c r="L1248" s="2" t="str">
        <f>HYPERLINK("https://www.nba.com/game/...-vs-...-0021401172/play-by-play?watchFullGame=true", "POR vs MIN - Q2 07:17.00")</f>
        <v>POR vs MIN - Q2 07:17.00</v>
      </c>
      <c r="M1248">
        <v>26</v>
      </c>
      <c r="N1248">
        <v>73</v>
      </c>
      <c r="O1248">
        <v>246</v>
      </c>
      <c r="P1248">
        <v>73</v>
      </c>
      <c r="Q1248">
        <v>246</v>
      </c>
      <c r="R1248" t="s">
        <v>0</v>
      </c>
      <c r="S1248" t="s">
        <v>0</v>
      </c>
      <c r="T1248" t="s">
        <v>0</v>
      </c>
    </row>
    <row r="1249" spans="1:20" x14ac:dyDescent="0.25">
      <c r="A1249">
        <v>21500048</v>
      </c>
      <c r="B1249" t="s">
        <v>4</v>
      </c>
      <c r="C1249" t="s">
        <v>9</v>
      </c>
      <c r="D1249">
        <v>49</v>
      </c>
      <c r="E1249">
        <v>38</v>
      </c>
      <c r="F1249">
        <v>11</v>
      </c>
      <c r="G1249">
        <v>3</v>
      </c>
      <c r="H1249" s="1">
        <v>7.1643518518518514E-3</v>
      </c>
      <c r="I1249">
        <v>2015</v>
      </c>
      <c r="J1249" t="s">
        <v>7</v>
      </c>
      <c r="K1249" s="2" t="str">
        <f>HYPERLINK("https://www.nba.com/stats/events?CFID=&amp;CFPARAMS=&amp;GameEventID=252&amp;GameID=0021500048&amp;Season=2015-16&amp;flag=1&amp;title=Aldridge%2017'%20Jump%20Shot%20(11%20PTS)%20(Leonard%201%20AST)", "Aldridge 17' Jump Shot (11 PTS) (Leonard 1 AST)")</f>
        <v>Aldridge 17' Jump Shot (11 PTS) (Leonard 1 AST)</v>
      </c>
      <c r="L1249" s="2" t="str">
        <f>HYPERLINK("https://www.nba.com/game/...-vs-...-0021500048/play-by-play?watchFullGame=true", "SAS vs NYK - Q3 10:19.00")</f>
        <v>SAS vs NYK - Q3 10:19.00</v>
      </c>
      <c r="M1249">
        <v>17</v>
      </c>
      <c r="N1249">
        <v>141</v>
      </c>
      <c r="O1249">
        <v>95</v>
      </c>
      <c r="P1249">
        <v>141</v>
      </c>
      <c r="Q1249">
        <v>95</v>
      </c>
      <c r="R1249" t="s">
        <v>0</v>
      </c>
      <c r="S1249" t="s">
        <v>0</v>
      </c>
      <c r="T1249" t="s">
        <v>0</v>
      </c>
    </row>
    <row r="1250" spans="1:20" x14ac:dyDescent="0.25">
      <c r="A1250">
        <v>21500123</v>
      </c>
      <c r="B1250" t="s">
        <v>10</v>
      </c>
      <c r="C1250" t="s">
        <v>9</v>
      </c>
      <c r="D1250">
        <v>41</v>
      </c>
      <c r="E1250">
        <v>32</v>
      </c>
      <c r="F1250">
        <v>9</v>
      </c>
      <c r="G1250">
        <v>2</v>
      </c>
      <c r="H1250" s="1">
        <v>3.7962962962962963E-3</v>
      </c>
      <c r="I1250">
        <v>2015</v>
      </c>
      <c r="J1250" t="s">
        <v>7</v>
      </c>
      <c r="K1250" s="2" t="str">
        <f>HYPERLINK("https://www.nba.com/stats/events?CFID=&amp;CFPARAMS=&amp;GameEventID=155&amp;GameID=0021500123&amp;Season=2015-16&amp;flag=1&amp;title=Green%20%203PT%20Jump%20Shot%20(5%20PTS)%20(Leonard%201%20AST)", "Green  3PT Jump Shot (5 PTS) (Leonard 1 AST)")</f>
        <v>Green  3PT Jump Shot (5 PTS) (Leonard 1 AST)</v>
      </c>
      <c r="L1250" s="2" t="str">
        <f>HYPERLINK("https://www.nba.com/game/...-vs-...-0021500123/play-by-play?watchFullGame=true", "SAS vs POR - Q2 05:28.00")</f>
        <v>SAS vs POR - Q2 05:28.00</v>
      </c>
      <c r="M1250">
        <v>0</v>
      </c>
      <c r="N1250">
        <v>225</v>
      </c>
      <c r="O1250">
        <v>-6</v>
      </c>
      <c r="P1250">
        <v>225</v>
      </c>
      <c r="Q1250">
        <v>-6</v>
      </c>
      <c r="R1250" t="s">
        <v>0</v>
      </c>
      <c r="S1250" t="s">
        <v>0</v>
      </c>
      <c r="T1250" t="s">
        <v>0</v>
      </c>
    </row>
    <row r="1251" spans="1:20" x14ac:dyDescent="0.25">
      <c r="A1251">
        <v>21500156</v>
      </c>
      <c r="B1251" t="s">
        <v>4</v>
      </c>
      <c r="C1251" t="s">
        <v>17</v>
      </c>
      <c r="D1251">
        <v>81</v>
      </c>
      <c r="E1251">
        <v>75</v>
      </c>
      <c r="F1251">
        <v>6</v>
      </c>
      <c r="G1251">
        <v>4</v>
      </c>
      <c r="H1251" s="1">
        <v>2.9166666666666668E-3</v>
      </c>
      <c r="I1251">
        <v>2015</v>
      </c>
      <c r="J1251" t="s">
        <v>7</v>
      </c>
      <c r="K1251" s="2" t="str">
        <f>HYPERLINK("https://www.nba.com/stats/events?CFID=&amp;CFPARAMS=&amp;GameEventID=426&amp;GameID=0021500156&amp;Season=2015-16&amp;flag=1&amp;title=Parker%2013'%20Floating%20Jump%20Shot%20(10%20PTS)%20(Leonard%203%20AST)", "Parker 13' Floating Jump Shot (10 PTS) (Leonard 3 AST)")</f>
        <v>Parker 13' Floating Jump Shot (10 PTS) (Leonard 3 AST)</v>
      </c>
      <c r="L1251" s="2" t="str">
        <f>HYPERLINK("https://www.nba.com/game/...-vs-...-0021500156/play-by-play?watchFullGame=true", "SAS vs POR - Q4 04:12.00")</f>
        <v>SAS vs POR - Q4 04:12.00</v>
      </c>
      <c r="M1251">
        <v>13</v>
      </c>
      <c r="N1251">
        <v>117</v>
      </c>
      <c r="O1251">
        <v>56</v>
      </c>
      <c r="P1251">
        <v>117</v>
      </c>
      <c r="Q1251">
        <v>56</v>
      </c>
      <c r="R1251" t="s">
        <v>0</v>
      </c>
      <c r="S1251" t="s">
        <v>0</v>
      </c>
      <c r="T1251" t="s">
        <v>0</v>
      </c>
    </row>
    <row r="1252" spans="1:20" x14ac:dyDescent="0.25">
      <c r="A1252">
        <v>21500156</v>
      </c>
      <c r="B1252" t="s">
        <v>4</v>
      </c>
      <c r="C1252" t="s">
        <v>9</v>
      </c>
      <c r="D1252">
        <v>41</v>
      </c>
      <c r="E1252">
        <v>30</v>
      </c>
      <c r="F1252">
        <v>11</v>
      </c>
      <c r="G1252">
        <v>3</v>
      </c>
      <c r="H1252" s="1">
        <v>6.875E-3</v>
      </c>
      <c r="I1252">
        <v>2015</v>
      </c>
      <c r="J1252" t="s">
        <v>7</v>
      </c>
      <c r="K1252" s="2" t="str">
        <f>HYPERLINK("https://www.nba.com/stats/events?CFID=&amp;CFPARAMS=&amp;GameEventID=263&amp;GameID=0021500156&amp;Season=2015-16&amp;flag=1&amp;title=Green%2016'%20Jump%20Shot%20(7%20PTS)%20(Leonard%202%20AST)", "Green 16' Jump Shot (7 PTS) (Leonard 2 AST)")</f>
        <v>Green 16' Jump Shot (7 PTS) (Leonard 2 AST)</v>
      </c>
      <c r="L1252" s="2" t="str">
        <f>HYPERLINK("https://www.nba.com/game/...-vs-...-0021500156/play-by-play?watchFullGame=true", "SAS vs POR - Q3 09:54.00")</f>
        <v>SAS vs POR - Q3 09:54.00</v>
      </c>
      <c r="M1252">
        <v>16</v>
      </c>
      <c r="N1252">
        <v>-156</v>
      </c>
      <c r="O1252">
        <v>7</v>
      </c>
      <c r="P1252">
        <v>-156</v>
      </c>
      <c r="Q1252">
        <v>7</v>
      </c>
      <c r="R1252" t="s">
        <v>0</v>
      </c>
      <c r="S1252" t="s">
        <v>0</v>
      </c>
      <c r="T1252" t="s">
        <v>0</v>
      </c>
    </row>
    <row r="1253" spans="1:20" x14ac:dyDescent="0.25">
      <c r="A1253">
        <v>21500235</v>
      </c>
      <c r="B1253" t="s">
        <v>4</v>
      </c>
      <c r="C1253" t="s">
        <v>9</v>
      </c>
      <c r="D1253">
        <v>8</v>
      </c>
      <c r="E1253">
        <v>11</v>
      </c>
      <c r="F1253">
        <v>3</v>
      </c>
      <c r="G1253">
        <v>1</v>
      </c>
      <c r="H1253" s="1">
        <v>3.7615740740740739E-3</v>
      </c>
      <c r="I1253">
        <v>2015</v>
      </c>
      <c r="J1253" t="s">
        <v>7</v>
      </c>
      <c r="K1253" s="2" t="str">
        <f>HYPERLINK("https://www.nba.com/stats/events?CFID=&amp;CFPARAMS=&amp;GameEventID=58&amp;GameID=0021500235&amp;Season=2015-16&amp;flag=1&amp;title=Aldridge%2020'%20Jump%20Shot%20(6%20PTS)%20(Leonard%201%20AST)", "Aldridge 20' Jump Shot (6 PTS) (Leonard 1 AST)")</f>
        <v>Aldridge 20' Jump Shot (6 PTS) (Leonard 1 AST)</v>
      </c>
      <c r="L1253" s="2" t="str">
        <f>HYPERLINK("https://www.nba.com/game/...-vs-...-0021500235/play-by-play?watchFullGame=true", "SAS vs DEN - Q1 05:25.00")</f>
        <v>SAS vs DEN - Q1 05:25.00</v>
      </c>
      <c r="M1253">
        <v>20</v>
      </c>
      <c r="N1253">
        <v>60</v>
      </c>
      <c r="O1253">
        <v>193</v>
      </c>
      <c r="P1253">
        <v>60</v>
      </c>
      <c r="Q1253">
        <v>193</v>
      </c>
      <c r="R1253" t="s">
        <v>0</v>
      </c>
      <c r="S1253" t="s">
        <v>0</v>
      </c>
      <c r="T1253" t="s">
        <v>0</v>
      </c>
    </row>
    <row r="1254" spans="1:20" x14ac:dyDescent="0.25">
      <c r="A1254">
        <v>21500296</v>
      </c>
      <c r="B1254" t="s">
        <v>4</v>
      </c>
      <c r="C1254" t="s">
        <v>21</v>
      </c>
      <c r="D1254">
        <v>92</v>
      </c>
      <c r="E1254">
        <v>79</v>
      </c>
      <c r="F1254">
        <v>13</v>
      </c>
      <c r="G1254">
        <v>4</v>
      </c>
      <c r="H1254" s="1">
        <v>5.6481481481481478E-3</v>
      </c>
      <c r="I1254">
        <v>2015</v>
      </c>
      <c r="J1254" t="s">
        <v>7</v>
      </c>
      <c r="K1254" s="2" t="str">
        <f>HYPERLINK("https://www.nba.com/stats/events?CFID=&amp;CFPARAMS=&amp;GameEventID=403&amp;GameID=0021500296&amp;Season=2015-16&amp;flag=1&amp;title=Anderson%2018'%20Fadeaway%20Jumper%20(4%20PTS)%20(Leonard%203%20AST)", "Anderson 18' Fadeaway Jumper (4 PTS) (Leonard 3 AST)")</f>
        <v>Anderson 18' Fadeaway Jumper (4 PTS) (Leonard 3 AST)</v>
      </c>
      <c r="L1254" s="2" t="str">
        <f>HYPERLINK("https://www.nba.com/game/...-vs-...-0021500296/play-by-play?watchFullGame=true", "SAS vs BOS - Q4 08:08.00")</f>
        <v>SAS vs BOS - Q4 08:08.00</v>
      </c>
      <c r="M1254">
        <v>18</v>
      </c>
      <c r="N1254">
        <v>82</v>
      </c>
      <c r="O1254">
        <v>159</v>
      </c>
      <c r="P1254">
        <v>82</v>
      </c>
      <c r="Q1254">
        <v>159</v>
      </c>
      <c r="R1254" t="s">
        <v>0</v>
      </c>
      <c r="S1254" t="s">
        <v>0</v>
      </c>
      <c r="T1254" t="s">
        <v>0</v>
      </c>
    </row>
    <row r="1255" spans="1:20" x14ac:dyDescent="0.25">
      <c r="A1255">
        <v>21600240</v>
      </c>
      <c r="B1255" t="s">
        <v>10</v>
      </c>
      <c r="C1255" t="s">
        <v>9</v>
      </c>
      <c r="D1255">
        <v>103</v>
      </c>
      <c r="E1255">
        <v>84</v>
      </c>
      <c r="F1255">
        <v>19</v>
      </c>
      <c r="G1255">
        <v>4</v>
      </c>
      <c r="H1255" s="1">
        <v>4.6527777777777774E-3</v>
      </c>
      <c r="I1255">
        <v>2016</v>
      </c>
      <c r="J1255" t="s">
        <v>7</v>
      </c>
      <c r="K1255" s="2" t="str">
        <f>HYPERLINK("https://www.nba.com/stats/events?CFID=&amp;CFPARAMS=&amp;GameEventID=486&amp;GameID=0021600240&amp;Season=2016-17&amp;flag=1&amp;title=Parker%20%203PT%20Jump%20Shot%20(18%20PTS)%20(Leonard%205%20AST)", "Parker  3PT Jump Shot (18 PTS) (Leonard 5 AST)")</f>
        <v>Parker  3PT Jump Shot (18 PTS) (Leonard 5 AST)</v>
      </c>
      <c r="L1255" s="2" t="str">
        <f>HYPERLINK("https://www.nba.com/game/...-vs-...-0021600240/play-by-play?watchFullGame=true", "SAS vs WAS - Q4 06:42.00")</f>
        <v>SAS vs WAS - Q4 06:42.00</v>
      </c>
      <c r="M1255">
        <v>0</v>
      </c>
      <c r="N1255">
        <v>227</v>
      </c>
      <c r="O1255">
        <v>23</v>
      </c>
      <c r="P1255">
        <v>227</v>
      </c>
      <c r="Q1255">
        <v>23</v>
      </c>
      <c r="R1255" t="s">
        <v>0</v>
      </c>
      <c r="S1255" t="s">
        <v>0</v>
      </c>
      <c r="T1255" t="s">
        <v>0</v>
      </c>
    </row>
    <row r="1256" spans="1:20" x14ac:dyDescent="0.25">
      <c r="A1256">
        <v>21600319</v>
      </c>
      <c r="B1256" t="s">
        <v>10</v>
      </c>
      <c r="C1256" t="s">
        <v>9</v>
      </c>
      <c r="D1256">
        <v>30</v>
      </c>
      <c r="E1256">
        <v>34</v>
      </c>
      <c r="F1256">
        <v>4</v>
      </c>
      <c r="G1256">
        <v>2</v>
      </c>
      <c r="H1256" s="1">
        <v>5.5439814814814813E-3</v>
      </c>
      <c r="I1256">
        <v>2016</v>
      </c>
      <c r="J1256" t="s">
        <v>7</v>
      </c>
      <c r="K1256" s="2" t="str">
        <f>HYPERLINK("https://www.nba.com/stats/events?CFID=&amp;CFPARAMS=&amp;GameEventID=143&amp;GameID=0021600319&amp;Season=2016-17&amp;flag=1&amp;title=Gasol%2025'%203PT%20Jump%20Shot%20(8%20PTS)%20(Leonard%202%20AST)", "Gasol 25' 3PT Jump Shot (8 PTS) (Leonard 2 AST)")</f>
        <v>Gasol 25' 3PT Jump Shot (8 PTS) (Leonard 2 AST)</v>
      </c>
      <c r="L1256" s="2" t="str">
        <f>HYPERLINK("https://www.nba.com/game/...-vs-...-0021600319/play-by-play?watchFullGame=true", "SAS vs MIN - Q2 07:59.00")</f>
        <v>SAS vs MIN - Q2 07:59.00</v>
      </c>
      <c r="M1256">
        <v>25</v>
      </c>
      <c r="N1256">
        <v>159</v>
      </c>
      <c r="O1256">
        <v>193</v>
      </c>
      <c r="P1256">
        <v>159</v>
      </c>
      <c r="Q1256">
        <v>193</v>
      </c>
      <c r="R1256" t="s">
        <v>0</v>
      </c>
      <c r="S1256" t="s">
        <v>0</v>
      </c>
      <c r="T1256" t="s">
        <v>0</v>
      </c>
    </row>
    <row r="1257" spans="1:20" x14ac:dyDescent="0.25">
      <c r="A1257">
        <v>21600387</v>
      </c>
      <c r="B1257" t="s">
        <v>4</v>
      </c>
      <c r="C1257" t="s">
        <v>9</v>
      </c>
      <c r="D1257">
        <v>39</v>
      </c>
      <c r="E1257">
        <v>39</v>
      </c>
      <c r="F1257">
        <v>0</v>
      </c>
      <c r="G1257">
        <v>2</v>
      </c>
      <c r="H1257" s="1">
        <v>2.1527777777777778E-3</v>
      </c>
      <c r="I1257">
        <v>2016</v>
      </c>
      <c r="J1257" t="s">
        <v>7</v>
      </c>
      <c r="K1257" s="2" t="str">
        <f>HYPERLINK("https://www.nba.com/stats/events?CFID=&amp;CFPARAMS=&amp;GameEventID=218&amp;GameID=0021600387&amp;Season=2016-17&amp;flag=1&amp;title=Parker%2021'%20Jump%20Shot%20(5%20PTS)%20(Leonard%202%20AST)", "Parker 21' Jump Shot (5 PTS) (Leonard 2 AST)")</f>
        <v>Parker 21' Jump Shot (5 PTS) (Leonard 2 AST)</v>
      </c>
      <c r="L1257" s="2" t="str">
        <f>HYPERLINK("https://www.nba.com/game/...-vs-...-0021600387/play-by-play?watchFullGame=true", "SAS vs PHX - Q2 03:06.00")</f>
        <v>SAS vs PHX - Q2 03:06.00</v>
      </c>
      <c r="M1257">
        <v>21</v>
      </c>
      <c r="N1257">
        <v>-186</v>
      </c>
      <c r="O1257">
        <v>92</v>
      </c>
      <c r="P1257">
        <v>-186</v>
      </c>
      <c r="Q1257">
        <v>92</v>
      </c>
      <c r="R1257" t="s">
        <v>0</v>
      </c>
      <c r="S1257" t="s">
        <v>0</v>
      </c>
      <c r="T1257" t="s">
        <v>0</v>
      </c>
    </row>
    <row r="1258" spans="1:20" x14ac:dyDescent="0.25">
      <c r="A1258">
        <v>21600454</v>
      </c>
      <c r="B1258" t="s">
        <v>4</v>
      </c>
      <c r="C1258" t="s">
        <v>9</v>
      </c>
      <c r="D1258">
        <v>50</v>
      </c>
      <c r="E1258">
        <v>38</v>
      </c>
      <c r="F1258">
        <v>12</v>
      </c>
      <c r="G1258">
        <v>2</v>
      </c>
      <c r="H1258" s="1">
        <v>1.4120370370370369E-3</v>
      </c>
      <c r="I1258">
        <v>2016</v>
      </c>
      <c r="J1258" t="s">
        <v>7</v>
      </c>
      <c r="K1258" s="2" t="str">
        <f>HYPERLINK("https://www.nba.com/stats/events?CFID=&amp;CFPARAMS=&amp;GameEventID=235&amp;GameID=0021600454&amp;Season=2016-17&amp;flag=1&amp;title=Anderson%2021'%20Jump%20Shot%20(2%20PTS)%20(Leonard%202%20AST)", "Anderson 21' Jump Shot (2 PTS) (Leonard 2 AST)")</f>
        <v>Anderson 21' Jump Shot (2 PTS) (Leonard 2 AST)</v>
      </c>
      <c r="L1258" s="2" t="str">
        <f>HYPERLINK("https://www.nba.com/game/...-vs-...-0021600454/play-by-play?watchFullGame=true", "SAS vs POR - Q2 02:02.00")</f>
        <v>SAS vs POR - Q2 02:02.00</v>
      </c>
      <c r="M1258">
        <v>21</v>
      </c>
      <c r="N1258">
        <v>-212</v>
      </c>
      <c r="O1258">
        <v>-1</v>
      </c>
      <c r="P1258">
        <v>-212</v>
      </c>
      <c r="Q1258">
        <v>-1</v>
      </c>
      <c r="R1258" t="s">
        <v>0</v>
      </c>
      <c r="S1258" t="s">
        <v>0</v>
      </c>
      <c r="T1258" t="s">
        <v>0</v>
      </c>
    </row>
    <row r="1259" spans="1:20" x14ac:dyDescent="0.25">
      <c r="A1259">
        <v>21600508</v>
      </c>
      <c r="B1259" t="s">
        <v>10</v>
      </c>
      <c r="C1259" t="s">
        <v>9</v>
      </c>
      <c r="D1259">
        <v>8</v>
      </c>
      <c r="E1259">
        <v>2</v>
      </c>
      <c r="F1259">
        <v>6</v>
      </c>
      <c r="G1259">
        <v>1</v>
      </c>
      <c r="H1259" s="1">
        <v>6.053240740740741E-3</v>
      </c>
      <c r="I1259">
        <v>2016</v>
      </c>
      <c r="J1259" t="s">
        <v>7</v>
      </c>
      <c r="K1259" s="2" t="str">
        <f>HYPERLINK("https://www.nba.com/stats/events?CFID=&amp;CFPARAMS=&amp;GameEventID=28&amp;GameID=0021600508&amp;Season=2016-17&amp;flag=1&amp;title=Aldridge%20%203PT%20Jump%20Shot%20(3%20PTS)%20(Leonard%201%20AST)", "Aldridge  3PT Jump Shot (3 PTS) (Leonard 1 AST)")</f>
        <v>Aldridge  3PT Jump Shot (3 PTS) (Leonard 1 AST)</v>
      </c>
      <c r="L1259" s="2" t="str">
        <f>HYPERLINK("https://www.nba.com/game/...-vs-...-0021600508/play-by-play?watchFullGame=true", "SAS vs ATL - Q1 08:43.00")</f>
        <v>SAS vs ATL - Q1 08:43.00</v>
      </c>
      <c r="M1259">
        <v>0</v>
      </c>
      <c r="N1259">
        <v>-230</v>
      </c>
      <c r="O1259">
        <v>16</v>
      </c>
      <c r="P1259">
        <v>-230</v>
      </c>
      <c r="Q1259">
        <v>16</v>
      </c>
      <c r="R1259" t="s">
        <v>0</v>
      </c>
      <c r="S1259" t="s">
        <v>0</v>
      </c>
      <c r="T1259" t="s">
        <v>0</v>
      </c>
    </row>
    <row r="1260" spans="1:20" x14ac:dyDescent="0.25">
      <c r="A1260">
        <v>21600657</v>
      </c>
      <c r="B1260" t="s">
        <v>4</v>
      </c>
      <c r="C1260" t="s">
        <v>23</v>
      </c>
      <c r="D1260">
        <v>77</v>
      </c>
      <c r="E1260">
        <v>76</v>
      </c>
      <c r="F1260">
        <v>1</v>
      </c>
      <c r="G1260">
        <v>3</v>
      </c>
      <c r="H1260" s="1">
        <v>2.7893518518518519E-3</v>
      </c>
      <c r="I1260">
        <v>2016</v>
      </c>
      <c r="J1260" t="s">
        <v>7</v>
      </c>
      <c r="K1260" s="2" t="str">
        <f>HYPERLINK("https://www.nba.com/stats/events?CFID=&amp;CFPARAMS=&amp;GameEventID=309&amp;GameID=0021600657&amp;Season=2016-17&amp;flag=1&amp;title=Ginobili%20%20Driving%20Layup%20(5%20PTS)%20(Leonard%204%20AST)", "Ginobili  Driving Layup (5 PTS) (Leonard 4 AST)")</f>
        <v>Ginobili  Driving Layup (5 PTS) (Leonard 4 AST)</v>
      </c>
      <c r="L1260" s="2" t="str">
        <f>HYPERLINK("https://www.nba.com/game/...-vs-...-0021600657/play-by-play?watchFullGame=true", "SAS vs CLE - Q3 04:01.00")</f>
        <v>SAS vs CLE - Q3 04:01.00</v>
      </c>
      <c r="M1260">
        <v>0</v>
      </c>
      <c r="N1260">
        <v>-1</v>
      </c>
      <c r="O1260">
        <v>3</v>
      </c>
      <c r="P1260">
        <v>-1</v>
      </c>
      <c r="Q1260">
        <v>3</v>
      </c>
      <c r="R1260" t="s">
        <v>0</v>
      </c>
      <c r="S1260" t="s">
        <v>0</v>
      </c>
      <c r="T1260" t="s">
        <v>0</v>
      </c>
    </row>
    <row r="1261" spans="1:20" x14ac:dyDescent="0.25">
      <c r="A1261">
        <v>21600744</v>
      </c>
      <c r="B1261" t="s">
        <v>4</v>
      </c>
      <c r="C1261" t="s">
        <v>48</v>
      </c>
      <c r="D1261">
        <v>97</v>
      </c>
      <c r="E1261">
        <v>82</v>
      </c>
      <c r="F1261">
        <v>15</v>
      </c>
      <c r="G1261">
        <v>4</v>
      </c>
      <c r="H1261" s="1">
        <v>2.7083333333333334E-3</v>
      </c>
      <c r="I1261">
        <v>2016</v>
      </c>
      <c r="J1261" t="s">
        <v>7</v>
      </c>
      <c r="K1261" s="2" t="str">
        <f>HYPERLINK("https://www.nba.com/stats/events?CFID=&amp;CFPARAMS=&amp;GameEventID=555&amp;GameID=0021600744&amp;Season=2016-17&amp;flag=1&amp;title=Anderson%208'%20Driving%20Bank%20Shot%20(2%20PTS)%20(Leonard%205%20AST)", "Anderson 8' Driving Bank Shot (2 PTS) (Leonard 5 AST)")</f>
        <v>Anderson 8' Driving Bank Shot (2 PTS) (Leonard 5 AST)</v>
      </c>
      <c r="L1261" s="2" t="str">
        <f>HYPERLINK("https://www.nba.com/game/...-vs-...-0021600744/play-by-play?watchFullGame=true", "SAS vs PHI - Q4 03:54.00")</f>
        <v>SAS vs PHI - Q4 03:54.00</v>
      </c>
      <c r="M1261">
        <v>8</v>
      </c>
      <c r="N1261">
        <v>78</v>
      </c>
      <c r="O1261">
        <v>31</v>
      </c>
      <c r="P1261">
        <v>78</v>
      </c>
      <c r="Q1261">
        <v>31</v>
      </c>
      <c r="R1261" t="s">
        <v>0</v>
      </c>
      <c r="S1261" t="s">
        <v>0</v>
      </c>
      <c r="T1261" t="s">
        <v>0</v>
      </c>
    </row>
    <row r="1262" spans="1:20" x14ac:dyDescent="0.25">
      <c r="A1262">
        <v>21600744</v>
      </c>
      <c r="B1262" t="s">
        <v>4</v>
      </c>
      <c r="C1262" t="s">
        <v>5</v>
      </c>
      <c r="D1262">
        <v>70</v>
      </c>
      <c r="E1262">
        <v>63</v>
      </c>
      <c r="F1262">
        <v>7</v>
      </c>
      <c r="G1262">
        <v>3</v>
      </c>
      <c r="H1262" s="1">
        <v>2.638888888888889E-3</v>
      </c>
      <c r="I1262">
        <v>2016</v>
      </c>
      <c r="J1262" t="s">
        <v>7</v>
      </c>
      <c r="K1262" s="2" t="str">
        <f>HYPERLINK("https://www.nba.com/stats/events?CFID=&amp;CFPARAMS=&amp;GameEventID=415&amp;GameID=0021600744&amp;Season=2016-17&amp;flag=1&amp;title=Lee%201'%20Layup%20(10%20PTS)%20(Leonard%203%20AST)", "Lee 1' Layup (10 PTS) (Leonard 3 AST)")</f>
        <v>Lee 1' Layup (10 PTS) (Leonard 3 AST)</v>
      </c>
      <c r="L1262" s="2" t="str">
        <f>HYPERLINK("https://www.nba.com/game/...-vs-...-0021600744/play-by-play?watchFullGame=true", "SAS vs PHI - Q3 03:48.00")</f>
        <v>SAS vs PHI - Q3 03:48.00</v>
      </c>
      <c r="M1262">
        <v>1</v>
      </c>
      <c r="N1262">
        <v>-7</v>
      </c>
      <c r="O1262">
        <v>3</v>
      </c>
      <c r="P1262">
        <v>-7</v>
      </c>
      <c r="Q1262">
        <v>3</v>
      </c>
      <c r="R1262" t="s">
        <v>0</v>
      </c>
      <c r="S1262" t="s">
        <v>0</v>
      </c>
      <c r="T1262" t="s">
        <v>0</v>
      </c>
    </row>
    <row r="1263" spans="1:20" x14ac:dyDescent="0.25">
      <c r="A1263">
        <v>21600817</v>
      </c>
      <c r="B1263" t="s">
        <v>10</v>
      </c>
      <c r="C1263" t="s">
        <v>9</v>
      </c>
      <c r="D1263">
        <v>38</v>
      </c>
      <c r="E1263">
        <v>30</v>
      </c>
      <c r="F1263">
        <v>8</v>
      </c>
      <c r="G1263">
        <v>2</v>
      </c>
      <c r="H1263" s="1">
        <v>3.8657407407407408E-3</v>
      </c>
      <c r="I1263">
        <v>2016</v>
      </c>
      <c r="J1263" t="s">
        <v>7</v>
      </c>
      <c r="K1263" s="2" t="str">
        <f>HYPERLINK("https://www.nba.com/stats/events?CFID=&amp;CFPARAMS=&amp;GameEventID=178&amp;GameID=0021600817&amp;Season=2016-17&amp;flag=1&amp;title=Green%20%203PT%20Jump%20Shot%20(6%20PTS)%20(Leonard%203%20AST)", "Green  3PT Jump Shot (6 PTS) (Leonard 3 AST)")</f>
        <v>Green  3PT Jump Shot (6 PTS) (Leonard 3 AST)</v>
      </c>
      <c r="L1263" s="2" t="str">
        <f>HYPERLINK("https://www.nba.com/game/...-vs-...-0021600817/play-by-play?watchFullGame=true", "SAS vs NYK - Q2 05:34.00")</f>
        <v>SAS vs NYK - Q2 05:34.00</v>
      </c>
      <c r="M1263">
        <v>0</v>
      </c>
      <c r="N1263">
        <v>-227</v>
      </c>
      <c r="O1263">
        <v>-34</v>
      </c>
      <c r="P1263">
        <v>-227</v>
      </c>
      <c r="Q1263">
        <v>-34</v>
      </c>
      <c r="R1263" t="s">
        <v>0</v>
      </c>
      <c r="S1263" t="s">
        <v>0</v>
      </c>
      <c r="T1263" t="s">
        <v>0</v>
      </c>
    </row>
    <row r="1264" spans="1:20" x14ac:dyDescent="0.25">
      <c r="A1264">
        <v>21600902</v>
      </c>
      <c r="B1264" t="s">
        <v>10</v>
      </c>
      <c r="C1264" t="s">
        <v>9</v>
      </c>
      <c r="D1264">
        <v>63</v>
      </c>
      <c r="E1264">
        <v>62</v>
      </c>
      <c r="F1264">
        <v>1</v>
      </c>
      <c r="G1264">
        <v>3</v>
      </c>
      <c r="H1264" s="1">
        <v>3.7268518518518519E-3</v>
      </c>
      <c r="I1264">
        <v>2016</v>
      </c>
      <c r="J1264" t="s">
        <v>7</v>
      </c>
      <c r="K1264" s="2" t="str">
        <f>HYPERLINK("https://www.nba.com/stats/events?CFID=&amp;CFPARAMS=&amp;GameEventID=338&amp;GameID=0021600902&amp;Season=2016-17&amp;flag=1&amp;title=Gasol%2025'%203PT%20Jump%20Shot%20(16%20PTS)%20(Leonard%202%20AST)", "Gasol 25' 3PT Jump Shot (16 PTS) (Leonard 2 AST)")</f>
        <v>Gasol 25' 3PT Jump Shot (16 PTS) (Leonard 2 AST)</v>
      </c>
      <c r="L1264" s="2" t="str">
        <f>HYPERLINK("https://www.nba.com/game/...-vs-...-0021600902/play-by-play?watchFullGame=true", "SAS vs IND - Q3 05:22.00")</f>
        <v>SAS vs IND - Q3 05:22.00</v>
      </c>
      <c r="M1264">
        <v>25</v>
      </c>
      <c r="N1264">
        <v>-2</v>
      </c>
      <c r="O1264">
        <v>254</v>
      </c>
      <c r="P1264">
        <v>-2</v>
      </c>
      <c r="Q1264">
        <v>254</v>
      </c>
      <c r="R1264" t="s">
        <v>0</v>
      </c>
      <c r="S1264" t="s">
        <v>0</v>
      </c>
      <c r="T1264" t="s">
        <v>0</v>
      </c>
    </row>
    <row r="1265" spans="1:20" x14ac:dyDescent="0.25">
      <c r="A1265">
        <v>21600925</v>
      </c>
      <c r="B1265" t="s">
        <v>4</v>
      </c>
      <c r="C1265" t="s">
        <v>29</v>
      </c>
      <c r="D1265">
        <v>68</v>
      </c>
      <c r="E1265">
        <v>71</v>
      </c>
      <c r="F1265">
        <v>3</v>
      </c>
      <c r="G1265">
        <v>4</v>
      </c>
      <c r="H1265" s="1">
        <v>6.5393518518518517E-3</v>
      </c>
      <c r="I1265">
        <v>2016</v>
      </c>
      <c r="J1265" t="s">
        <v>7</v>
      </c>
      <c r="K1265" s="2" t="str">
        <f>HYPERLINK("https://www.nba.com/stats/events?CFID=&amp;CFPARAMS=&amp;GameEventID=414&amp;GameID=0021600925&amp;Season=2016-17&amp;flag=1&amp;title=Murray%207'%20Driving%20Floating%20Jump%20Shot%20(2%20PTS)%20(Leonard%204%20AST)", "Murray 7' Driving Floating Jump Shot (2 PTS) (Leonard 4 AST)")</f>
        <v>Murray 7' Driving Floating Jump Shot (2 PTS) (Leonard 4 AST)</v>
      </c>
      <c r="L1265" s="2" t="str">
        <f>HYPERLINK("https://www.nba.com/game/...-vs-...-0021600925/play-by-play?watchFullGame=true", "SAS vs MIN - Q4 09:25.00")</f>
        <v>SAS vs MIN - Q4 09:25.00</v>
      </c>
      <c r="M1265">
        <v>7</v>
      </c>
      <c r="N1265">
        <v>-70</v>
      </c>
      <c r="O1265">
        <v>11</v>
      </c>
      <c r="P1265">
        <v>-70</v>
      </c>
      <c r="Q1265">
        <v>11</v>
      </c>
      <c r="R1265" t="s">
        <v>0</v>
      </c>
      <c r="S1265" t="s">
        <v>0</v>
      </c>
      <c r="T1265" t="s">
        <v>0</v>
      </c>
    </row>
    <row r="1266" spans="1:20" x14ac:dyDescent="0.25">
      <c r="A1266">
        <v>21600940</v>
      </c>
      <c r="B1266" t="s">
        <v>10</v>
      </c>
      <c r="C1266" t="s">
        <v>9</v>
      </c>
      <c r="D1266">
        <v>5</v>
      </c>
      <c r="E1266">
        <v>2</v>
      </c>
      <c r="F1266">
        <v>3</v>
      </c>
      <c r="G1266">
        <v>1</v>
      </c>
      <c r="H1266" s="1">
        <v>7.4421296296296293E-3</v>
      </c>
      <c r="I1266">
        <v>2016</v>
      </c>
      <c r="J1266" t="s">
        <v>12</v>
      </c>
      <c r="K1266" s="2" t="str">
        <f>HYPERLINK("https://www.nba.com/stats/events?CFID=&amp;CFPARAMS=&amp;GameEventID=8&amp;GameID=0021600940&amp;Season=2016-17&amp;flag=1&amp;title=Harkless%2025'%203PT%20Jump%20Shot%20(3%20PTS)%20(Leonard%202%20AST)", "Harkless 25' 3PT Jump Shot (3 PTS) (Leonard 2 AST)")</f>
        <v>Harkless 25' 3PT Jump Shot (3 PTS) (Leonard 2 AST)</v>
      </c>
      <c r="L1266" s="2" t="str">
        <f>HYPERLINK("https://www.nba.com/game/...-vs-...-0021600940/play-by-play?watchFullGame=true", "POR vs MIN - Q1 10:43.00")</f>
        <v>POR vs MIN - Q1 10:43.00</v>
      </c>
      <c r="M1266">
        <v>25</v>
      </c>
      <c r="N1266">
        <v>-163</v>
      </c>
      <c r="O1266">
        <v>185</v>
      </c>
      <c r="P1266">
        <v>-163</v>
      </c>
      <c r="Q1266">
        <v>185</v>
      </c>
      <c r="R1266" t="s">
        <v>0</v>
      </c>
      <c r="S1266" t="s">
        <v>0</v>
      </c>
      <c r="T1266" t="s">
        <v>0</v>
      </c>
    </row>
    <row r="1267" spans="1:20" x14ac:dyDescent="0.25">
      <c r="A1267">
        <v>21600942</v>
      </c>
      <c r="B1267" t="s">
        <v>4</v>
      </c>
      <c r="C1267" t="s">
        <v>24</v>
      </c>
      <c r="D1267">
        <v>45</v>
      </c>
      <c r="E1267">
        <v>52</v>
      </c>
      <c r="F1267">
        <v>7</v>
      </c>
      <c r="G1267">
        <v>2</v>
      </c>
      <c r="H1267" s="1">
        <v>1.261574074074074E-3</v>
      </c>
      <c r="I1267">
        <v>2016</v>
      </c>
      <c r="J1267" t="s">
        <v>7</v>
      </c>
      <c r="K1267" s="2" t="str">
        <f>HYPERLINK("https://www.nba.com/stats/events?CFID=&amp;CFPARAMS=&amp;GameEventID=204&amp;GameID=0021600942&amp;Season=2016-17&amp;flag=1&amp;title=Aldridge%202'%20Cutting%20Finger%20Roll%20Layup%20Shot%20(9%20PTS)%20(Leonard%201%20AST)", "Aldridge 2' Cutting Finger Roll Layup Shot (9 PTS) (Leonard 1 AST)")</f>
        <v>Aldridge 2' Cutting Finger Roll Layup Shot (9 PTS) (Leonard 1 AST)</v>
      </c>
      <c r="L1267" s="2" t="str">
        <f>HYPERLINK("https://www.nba.com/game/...-vs-...-0021600942/play-by-play?watchFullGame=true", "SAS vs HOU - Q2 01:49.00")</f>
        <v>SAS vs HOU - Q2 01:49.00</v>
      </c>
      <c r="M1267">
        <v>2</v>
      </c>
      <c r="N1267">
        <v>-9</v>
      </c>
      <c r="O1267">
        <v>16</v>
      </c>
      <c r="P1267">
        <v>-9</v>
      </c>
      <c r="Q1267">
        <v>16</v>
      </c>
      <c r="R1267" t="s">
        <v>0</v>
      </c>
      <c r="S1267" t="s">
        <v>0</v>
      </c>
      <c r="T1267" t="s">
        <v>0</v>
      </c>
    </row>
    <row r="1268" spans="1:20" x14ac:dyDescent="0.25">
      <c r="A1268">
        <v>21601002</v>
      </c>
      <c r="B1268" t="s">
        <v>4</v>
      </c>
      <c r="C1268" t="s">
        <v>9</v>
      </c>
      <c r="D1268">
        <v>24</v>
      </c>
      <c r="E1268">
        <v>27</v>
      </c>
      <c r="F1268">
        <v>3</v>
      </c>
      <c r="G1268">
        <v>2</v>
      </c>
      <c r="H1268" s="1">
        <v>6.6087962962962966E-3</v>
      </c>
      <c r="I1268">
        <v>2016</v>
      </c>
      <c r="J1268" t="s">
        <v>12</v>
      </c>
      <c r="K1268" s="2" t="str">
        <f>HYPERLINK("https://www.nba.com/stats/events?CFID=&amp;CFPARAMS=&amp;GameEventID=161&amp;GameID=0021601002&amp;Season=2016-17&amp;flag=1&amp;title=McCollum%2021'%20Jump%20Shot%20(2%20PTS)%20(Leonard%202%20AST)", "McCollum 21' Jump Shot (2 PTS) (Leonard 2 AST)")</f>
        <v>McCollum 21' Jump Shot (2 PTS) (Leonard 2 AST)</v>
      </c>
      <c r="L1268" s="2" t="str">
        <f>HYPERLINK("https://www.nba.com/game/...-vs-...-0021601002/play-by-play?watchFullGame=true", "POR vs NOP - Q2 09:31.00")</f>
        <v>POR vs NOP - Q2 09:31.00</v>
      </c>
      <c r="M1268">
        <v>21</v>
      </c>
      <c r="N1268">
        <v>0</v>
      </c>
      <c r="O1268">
        <v>210</v>
      </c>
      <c r="P1268">
        <v>0</v>
      </c>
      <c r="Q1268">
        <v>210</v>
      </c>
      <c r="R1268" t="s">
        <v>0</v>
      </c>
      <c r="S1268" t="s">
        <v>0</v>
      </c>
      <c r="T1268" t="s">
        <v>0</v>
      </c>
    </row>
    <row r="1269" spans="1:20" x14ac:dyDescent="0.25">
      <c r="A1269">
        <v>21601170</v>
      </c>
      <c r="B1269" t="s">
        <v>4</v>
      </c>
      <c r="C1269" t="s">
        <v>14</v>
      </c>
      <c r="D1269">
        <v>10</v>
      </c>
      <c r="E1269">
        <v>11</v>
      </c>
      <c r="F1269">
        <v>1</v>
      </c>
      <c r="G1269">
        <v>1</v>
      </c>
      <c r="H1269" s="1">
        <v>4.7685185185185183E-3</v>
      </c>
      <c r="I1269">
        <v>2016</v>
      </c>
      <c r="J1269" t="s">
        <v>7</v>
      </c>
      <c r="K1269" s="2" t="str">
        <f>HYPERLINK("https://www.nba.com/stats/events?CFID=&amp;CFPARAMS=&amp;GameEventID=39&amp;GameID=0021601170&amp;Season=2016-17&amp;flag=1&amp;title=Aldridge%2016'%20Step%20Back%20Jump%20Shot%20(4%20PTS)%20(Leonard%201%20AST)", "Aldridge 16' Step Back Jump Shot (4 PTS) (Leonard 1 AST)")</f>
        <v>Aldridge 16' Step Back Jump Shot (4 PTS) (Leonard 1 AST)</v>
      </c>
      <c r="L1269" s="2" t="str">
        <f>HYPERLINK("https://www.nba.com/game/...-vs-...-0021601170/play-by-play?watchFullGame=true", "SAS vs LAL - Q1 06:52.00")</f>
        <v>SAS vs LAL - Q1 06:52.00</v>
      </c>
      <c r="M1269">
        <v>16</v>
      </c>
      <c r="N1269">
        <v>-112</v>
      </c>
      <c r="O1269">
        <v>111</v>
      </c>
      <c r="P1269">
        <v>-112</v>
      </c>
      <c r="Q1269">
        <v>111</v>
      </c>
      <c r="R1269" t="s">
        <v>0</v>
      </c>
      <c r="S1269" t="s">
        <v>0</v>
      </c>
      <c r="T1269" t="s">
        <v>0</v>
      </c>
    </row>
    <row r="1270" spans="1:20" x14ac:dyDescent="0.25">
      <c r="A1270">
        <v>21700633</v>
      </c>
      <c r="B1270" t="s">
        <v>10</v>
      </c>
      <c r="C1270" t="s">
        <v>9</v>
      </c>
      <c r="D1270">
        <v>42</v>
      </c>
      <c r="E1270">
        <v>29</v>
      </c>
      <c r="F1270">
        <v>13</v>
      </c>
      <c r="G1270">
        <v>2</v>
      </c>
      <c r="H1270" s="1">
        <v>4.2824074074074075E-3</v>
      </c>
      <c r="I1270">
        <v>2017</v>
      </c>
      <c r="J1270" t="s">
        <v>7</v>
      </c>
      <c r="K1270" s="2" t="str">
        <f>HYPERLINK("https://www.nba.com/stats/events?CFID=&amp;CFPARAMS=&amp;GameEventID=215&amp;GameID=0021700633&amp;Season=2017-18&amp;flag=1&amp;title=Green%2026'%203PT%20Jump%20Shot%20(8%20PTS)%20(Leonard%203%20AST)", "Green 26' 3PT Jump Shot (8 PTS) (Leonard 3 AST)")</f>
        <v>Green 26' 3PT Jump Shot (8 PTS) (Leonard 3 AST)</v>
      </c>
      <c r="L1270" s="2" t="str">
        <f>HYPERLINK("https://www.nba.com/game/...-vs-...-0021700633/play-by-play?watchFullGame=true", "SAS vs DEN - Q2 06:10.00")</f>
        <v>SAS vs DEN - Q2 06:10.00</v>
      </c>
      <c r="M1270">
        <v>26</v>
      </c>
      <c r="N1270">
        <v>220</v>
      </c>
      <c r="O1270">
        <v>134</v>
      </c>
      <c r="P1270">
        <v>220</v>
      </c>
      <c r="Q1270">
        <v>134</v>
      </c>
      <c r="R1270" t="s">
        <v>0</v>
      </c>
      <c r="S1270" t="s">
        <v>0</v>
      </c>
      <c r="T1270" t="s">
        <v>0</v>
      </c>
    </row>
    <row r="1271" spans="1:20" x14ac:dyDescent="0.25">
      <c r="A1271">
        <v>21600834</v>
      </c>
      <c r="B1271" t="s">
        <v>10</v>
      </c>
      <c r="C1271" t="s">
        <v>9</v>
      </c>
      <c r="D1271">
        <v>68</v>
      </c>
      <c r="E1271">
        <v>45</v>
      </c>
      <c r="F1271">
        <v>23</v>
      </c>
      <c r="G1271">
        <v>3</v>
      </c>
      <c r="H1271" s="1">
        <v>5.5208333333333333E-3</v>
      </c>
      <c r="I1271">
        <v>2016</v>
      </c>
      <c r="J1271" t="s">
        <v>7</v>
      </c>
      <c r="K1271" s="2" t="str">
        <f>HYPERLINK("https://www.nba.com/stats/events?CFID=&amp;CFPARAMS=&amp;GameEventID=299&amp;GameID=0021600834&amp;Season=2016-17&amp;flag=1&amp;title=Green%2026'%203PT%20Jump%20Shot%20(3%20PTS)%20(Leonard%201%20AST)", "Green 26' 3PT Jump Shot (3 PTS) (Leonard 1 AST)")</f>
        <v>Green 26' 3PT Jump Shot (3 PTS) (Leonard 1 AST)</v>
      </c>
      <c r="L1271" s="2" t="str">
        <f>HYPERLINK("https://www.nba.com/game/...-vs-...-0021600834/play-by-play?watchFullGame=true", "SAS vs ORL - Q3 07:57.00")</f>
        <v>SAS vs ORL - Q3 07:57.00</v>
      </c>
      <c r="M1271">
        <v>26</v>
      </c>
      <c r="N1271">
        <v>-151</v>
      </c>
      <c r="O1271">
        <v>208</v>
      </c>
      <c r="P1271">
        <v>-151</v>
      </c>
      <c r="Q1271">
        <v>208</v>
      </c>
      <c r="R1271" t="s">
        <v>0</v>
      </c>
      <c r="S1271" t="s">
        <v>0</v>
      </c>
      <c r="T1271" t="s">
        <v>0</v>
      </c>
    </row>
    <row r="1272" spans="1:20" x14ac:dyDescent="0.25">
      <c r="A1272">
        <v>21600917</v>
      </c>
      <c r="B1272" t="s">
        <v>10</v>
      </c>
      <c r="C1272" t="s">
        <v>9</v>
      </c>
      <c r="D1272">
        <v>97</v>
      </c>
      <c r="E1272">
        <v>94</v>
      </c>
      <c r="F1272">
        <v>3</v>
      </c>
      <c r="G1272">
        <v>5</v>
      </c>
      <c r="H1272" s="1">
        <v>1.5856481481481481E-3</v>
      </c>
      <c r="I1272">
        <v>2016</v>
      </c>
      <c r="J1272" t="s">
        <v>7</v>
      </c>
      <c r="K1272" s="2" t="str">
        <f>HYPERLINK("https://www.nba.com/stats/events?CFID=&amp;CFPARAMS=&amp;GameEventID=603&amp;GameID=0021600917&amp;Season=2016-17&amp;flag=1&amp;title=Mills%2025'%203PT%20Jump%20Shot%20(12%20PTS)%20(Leonard%205%20AST)", "Mills 25' 3PT Jump Shot (12 PTS) (Leonard 5 AST)")</f>
        <v>Mills 25' 3PT Jump Shot (12 PTS) (Leonard 5 AST)</v>
      </c>
      <c r="L1272" s="2" t="str">
        <f>HYPERLINK("https://www.nba.com/game/...-vs-...-0021600917/play-by-play?watchFullGame=true", "SAS vs NOP - Q5 02:17.00")</f>
        <v>SAS vs NOP - Q5 02:17.00</v>
      </c>
      <c r="M1272">
        <v>25</v>
      </c>
      <c r="N1272">
        <v>238</v>
      </c>
      <c r="O1272">
        <v>62</v>
      </c>
      <c r="P1272">
        <v>238</v>
      </c>
      <c r="Q1272">
        <v>62</v>
      </c>
      <c r="R1272" t="s">
        <v>0</v>
      </c>
      <c r="S1272" t="s">
        <v>0</v>
      </c>
      <c r="T1272" t="s">
        <v>0</v>
      </c>
    </row>
    <row r="1273" spans="1:20" x14ac:dyDescent="0.25">
      <c r="A1273">
        <v>21600983</v>
      </c>
      <c r="B1273" t="s">
        <v>4</v>
      </c>
      <c r="C1273" t="s">
        <v>31</v>
      </c>
      <c r="D1273">
        <v>60</v>
      </c>
      <c r="E1273">
        <v>49</v>
      </c>
      <c r="F1273">
        <v>11</v>
      </c>
      <c r="G1273">
        <v>2</v>
      </c>
      <c r="H1273" s="1">
        <v>1.8402777777777777E-3</v>
      </c>
      <c r="I1273">
        <v>2016</v>
      </c>
      <c r="J1273" t="s">
        <v>12</v>
      </c>
      <c r="K1273" s="2" t="str">
        <f>HYPERLINK("https://www.nba.com/stats/events?CFID=&amp;CFPARAMS=&amp;GameEventID=241&amp;GameID=0021600983&amp;Season=2016-17&amp;flag=1&amp;title=Harkless%202'%20Driving%20Reverse%20Layup%20(8%20PTS)%20(Leonard%203%20AST)", "Harkless 2' Driving Reverse Layup (8 PTS) (Leonard 3 AST)")</f>
        <v>Harkless 2' Driving Reverse Layup (8 PTS) (Leonard 3 AST)</v>
      </c>
      <c r="L1273" s="2" t="str">
        <f>HYPERLINK("https://www.nba.com/game/...-vs-...-0021600983/play-by-play?watchFullGame=true", "POR vs WAS - Q2 02:39.00")</f>
        <v>POR vs WAS - Q2 02:39.00</v>
      </c>
      <c r="M1273">
        <v>2</v>
      </c>
      <c r="N1273">
        <v>17</v>
      </c>
      <c r="O1273">
        <v>7</v>
      </c>
      <c r="P1273">
        <v>17</v>
      </c>
      <c r="Q1273">
        <v>7</v>
      </c>
      <c r="R1273" t="s">
        <v>0</v>
      </c>
      <c r="S1273" t="s">
        <v>0</v>
      </c>
      <c r="T1273" t="s">
        <v>0</v>
      </c>
    </row>
    <row r="1274" spans="1:20" x14ac:dyDescent="0.25">
      <c r="A1274">
        <v>21601070</v>
      </c>
      <c r="B1274" t="s">
        <v>10</v>
      </c>
      <c r="C1274" t="s">
        <v>9</v>
      </c>
      <c r="D1274">
        <v>95</v>
      </c>
      <c r="E1274">
        <v>87</v>
      </c>
      <c r="F1274">
        <v>8</v>
      </c>
      <c r="G1274">
        <v>4</v>
      </c>
      <c r="H1274" s="1">
        <v>3.0671296296296295E-4</v>
      </c>
      <c r="I1274">
        <v>2016</v>
      </c>
      <c r="J1274" t="s">
        <v>7</v>
      </c>
      <c r="K1274" s="2" t="str">
        <f>HYPERLINK("https://www.nba.com/stats/events?CFID=&amp;CFPARAMS=&amp;GameEventID=490&amp;GameID=0021601070&amp;Season=2016-17&amp;flag=1&amp;title=Parker%2024'%203PT%20Jump%20Shot%20(13%20PTS)%20(Leonard%204%20AST)", "Parker 24' 3PT Jump Shot (13 PTS) (Leonard 4 AST)")</f>
        <v>Parker 24' 3PT Jump Shot (13 PTS) (Leonard 4 AST)</v>
      </c>
      <c r="L1274" s="2" t="str">
        <f>HYPERLINK("https://www.nba.com/game/...-vs-...-0021601070/play-by-play?watchFullGame=true", "SAS vs MEM - Q4 00:26.50")</f>
        <v>SAS vs MEM - Q4 00:26.50</v>
      </c>
      <c r="M1274">
        <v>24</v>
      </c>
      <c r="N1274">
        <v>-233</v>
      </c>
      <c r="O1274">
        <v>36</v>
      </c>
      <c r="P1274">
        <v>-233</v>
      </c>
      <c r="Q1274">
        <v>36</v>
      </c>
      <c r="R1274" t="s">
        <v>0</v>
      </c>
      <c r="S1274" t="s">
        <v>0</v>
      </c>
      <c r="T1274" t="s">
        <v>0</v>
      </c>
    </row>
    <row r="1275" spans="1:20" x14ac:dyDescent="0.25">
      <c r="A1275">
        <v>21601118</v>
      </c>
      <c r="B1275" t="s">
        <v>4</v>
      </c>
      <c r="C1275" t="s">
        <v>5</v>
      </c>
      <c r="D1275">
        <v>93</v>
      </c>
      <c r="E1275">
        <v>101</v>
      </c>
      <c r="F1275">
        <v>8</v>
      </c>
      <c r="G1275">
        <v>4</v>
      </c>
      <c r="H1275" s="1">
        <v>3.7152777777777778E-3</v>
      </c>
      <c r="I1275">
        <v>2016</v>
      </c>
      <c r="J1275" t="s">
        <v>7</v>
      </c>
      <c r="K1275" s="2" t="str">
        <f>HYPERLINK("https://www.nba.com/stats/events?CFID=&amp;CFPARAMS=&amp;GameEventID=457&amp;GameID=0021601118&amp;Season=2016-17&amp;flag=1&amp;title=Lee%203'%20Layup%20(8%20PTS)%20(Leonard%205%20AST)", "Lee 3' Layup (8 PTS) (Leonard 5 AST)")</f>
        <v>Lee 3' Layup (8 PTS) (Leonard 5 AST)</v>
      </c>
      <c r="L1275" s="2" t="str">
        <f>HYPERLINK("https://www.nba.com/game/...-vs-...-0021601118/play-by-play?watchFullGame=true", "SAS vs GSW - Q4 05:21.00")</f>
        <v>SAS vs GSW - Q4 05:21.00</v>
      </c>
      <c r="M1275">
        <v>3</v>
      </c>
      <c r="N1275">
        <v>2</v>
      </c>
      <c r="O1275">
        <v>28</v>
      </c>
      <c r="P1275">
        <v>2</v>
      </c>
      <c r="Q1275">
        <v>28</v>
      </c>
      <c r="R1275" t="s">
        <v>0</v>
      </c>
      <c r="S1275" t="s">
        <v>0</v>
      </c>
      <c r="T1275" t="s">
        <v>0</v>
      </c>
    </row>
    <row r="1276" spans="1:20" x14ac:dyDescent="0.25">
      <c r="A1276">
        <v>21601125</v>
      </c>
      <c r="B1276" t="s">
        <v>4</v>
      </c>
      <c r="C1276" t="s">
        <v>19</v>
      </c>
      <c r="D1276">
        <v>98</v>
      </c>
      <c r="E1276">
        <v>85</v>
      </c>
      <c r="F1276">
        <v>13</v>
      </c>
      <c r="G1276">
        <v>4</v>
      </c>
      <c r="H1276" s="1">
        <v>8.1250000000000003E-3</v>
      </c>
      <c r="I1276">
        <v>2016</v>
      </c>
      <c r="J1276" t="s">
        <v>12</v>
      </c>
      <c r="K1276" s="2" t="str">
        <f>HYPERLINK("https://www.nba.com/stats/events?CFID=&amp;CFPARAMS=&amp;GameEventID=407&amp;GameID=0021601125&amp;Season=2016-17&amp;flag=1&amp;title=McCollum%2015'%20Pullup%20Jump%20Shot%20(10%20PTS)%20(Leonard%201%20AST)", "McCollum 15' Pullup Jump Shot (10 PTS) (Leonard 1 AST)")</f>
        <v>McCollum 15' Pullup Jump Shot (10 PTS) (Leonard 1 AST)</v>
      </c>
      <c r="L1276" s="2" t="str">
        <f>HYPERLINK("https://www.nba.com/game/...-vs-...-0021601125/play-by-play?watchFullGame=true", "POR vs HOU - Q4 11:42.00")</f>
        <v>POR vs HOU - Q4 11:42.00</v>
      </c>
      <c r="M1276">
        <v>15</v>
      </c>
      <c r="N1276">
        <v>-40</v>
      </c>
      <c r="O1276">
        <v>144</v>
      </c>
      <c r="P1276">
        <v>-40</v>
      </c>
      <c r="Q1276">
        <v>144</v>
      </c>
      <c r="R1276" t="s">
        <v>0</v>
      </c>
      <c r="S1276" t="s">
        <v>0</v>
      </c>
      <c r="T1276" t="s">
        <v>0</v>
      </c>
    </row>
    <row r="1277" spans="1:20" x14ac:dyDescent="0.25">
      <c r="A1277">
        <v>21800019</v>
      </c>
      <c r="B1277" t="s">
        <v>4</v>
      </c>
      <c r="C1277" t="s">
        <v>37</v>
      </c>
      <c r="D1277">
        <v>59</v>
      </c>
      <c r="E1277">
        <v>60</v>
      </c>
      <c r="F1277">
        <v>1</v>
      </c>
      <c r="G1277">
        <v>3</v>
      </c>
      <c r="H1277" s="1">
        <v>6.6087962962962966E-3</v>
      </c>
      <c r="I1277">
        <v>2018</v>
      </c>
      <c r="J1277" t="s">
        <v>1</v>
      </c>
      <c r="K1277" s="2" t="str">
        <f>HYPERLINK("https://www.nba.com/stats/events?CFID=&amp;CFPARAMS=&amp;GameEventID=359&amp;GameID=0021800019&amp;Season=2018-19&amp;flag=1&amp;title=Ibaka%202'%20Driving%20Dunk%20(15%20PTS)%20(Leonard%203%20AST)", "Ibaka 2' Driving Dunk (15 PTS) (Leonard 3 AST)")</f>
        <v>Ibaka 2' Driving Dunk (15 PTS) (Leonard 3 AST)</v>
      </c>
      <c r="L1277" s="2" t="str">
        <f>HYPERLINK("https://www.nba.com/game/...-vs-...-0021800019/play-by-play?watchFullGame=true", "TOR vs BOS - Q3 09:31.00")</f>
        <v>TOR vs BOS - Q3 09:31.00</v>
      </c>
      <c r="M1277">
        <v>2</v>
      </c>
      <c r="N1277">
        <v>8</v>
      </c>
      <c r="O1277">
        <v>13</v>
      </c>
      <c r="P1277">
        <v>8</v>
      </c>
      <c r="Q1277">
        <v>13</v>
      </c>
      <c r="R1277" t="s">
        <v>0</v>
      </c>
      <c r="S1277" t="s">
        <v>0</v>
      </c>
      <c r="T1277" t="s">
        <v>0</v>
      </c>
    </row>
    <row r="1278" spans="1:20" x14ac:dyDescent="0.25">
      <c r="A1278">
        <v>21800123</v>
      </c>
      <c r="B1278" t="s">
        <v>4</v>
      </c>
      <c r="C1278" t="s">
        <v>20</v>
      </c>
      <c r="D1278">
        <v>101</v>
      </c>
      <c r="E1278">
        <v>86</v>
      </c>
      <c r="F1278">
        <v>15</v>
      </c>
      <c r="G1278">
        <v>4</v>
      </c>
      <c r="H1278" s="1">
        <v>2.9282407407407408E-3</v>
      </c>
      <c r="I1278">
        <v>2018</v>
      </c>
      <c r="J1278" t="s">
        <v>1</v>
      </c>
      <c r="K1278" s="2" t="str">
        <f>HYPERLINK("https://www.nba.com/stats/events?CFID=&amp;CFPARAMS=&amp;GameEventID=613&amp;GameID=0021800123&amp;Season=2018-19&amp;flag=1&amp;title=Valanciunas%203'%20Cutting%20Layup%20Shot%20(14%20PTS)%20(Leonard%205%20AST)", "Valanciunas 3' Cutting Layup Shot (14 PTS) (Leonard 5 AST)")</f>
        <v>Valanciunas 3' Cutting Layup Shot (14 PTS) (Leonard 5 AST)</v>
      </c>
      <c r="L1278" s="2" t="str">
        <f>HYPERLINK("https://www.nba.com/game/...-vs-...-0021800123/play-by-play?watchFullGame=true", "TOR vs PHX - Q4 04:13.00")</f>
        <v>TOR vs PHX - Q4 04:13.00</v>
      </c>
      <c r="M1278">
        <v>3</v>
      </c>
      <c r="N1278">
        <v>27</v>
      </c>
      <c r="O1278">
        <v>13</v>
      </c>
      <c r="P1278">
        <v>27</v>
      </c>
      <c r="Q1278">
        <v>13</v>
      </c>
      <c r="R1278" t="s">
        <v>0</v>
      </c>
      <c r="S1278" t="s">
        <v>0</v>
      </c>
      <c r="T1278" t="s">
        <v>0</v>
      </c>
    </row>
    <row r="1279" spans="1:20" x14ac:dyDescent="0.25">
      <c r="A1279">
        <v>21500682</v>
      </c>
      <c r="B1279" t="s">
        <v>4</v>
      </c>
      <c r="C1279" t="s">
        <v>9</v>
      </c>
      <c r="D1279">
        <v>95</v>
      </c>
      <c r="E1279">
        <v>78</v>
      </c>
      <c r="F1279">
        <v>17</v>
      </c>
      <c r="G1279">
        <v>4</v>
      </c>
      <c r="H1279" s="1">
        <v>6.5856481481481478E-3</v>
      </c>
      <c r="I1279">
        <v>2015</v>
      </c>
      <c r="J1279" t="s">
        <v>12</v>
      </c>
      <c r="K1279" s="2" t="str">
        <f>HYPERLINK("https://www.nba.com/stats/events?CFID=&amp;CFPARAMS=&amp;GameEventID=456&amp;GameID=0021500682&amp;Season=2015-16&amp;flag=1&amp;title=McCollum%204'%20Jump%20Shot%20(16%20PTS)%20(Leonard%202%20AST)", "McCollum 4' Jump Shot (16 PTS) (Leonard 2 AST)")</f>
        <v>McCollum 4' Jump Shot (16 PTS) (Leonard 2 AST)</v>
      </c>
      <c r="L1279" s="2" t="str">
        <f>HYPERLINK("https://www.nba.com/game/...-vs-...-0021500682/play-by-play?watchFullGame=true", "POR vs SAC - Q4 09:29.00")</f>
        <v>POR vs SAC - Q4 09:29.00</v>
      </c>
      <c r="M1279">
        <v>4</v>
      </c>
      <c r="N1279">
        <v>9</v>
      </c>
      <c r="O1279">
        <v>38</v>
      </c>
      <c r="P1279">
        <v>9</v>
      </c>
      <c r="Q1279">
        <v>38</v>
      </c>
      <c r="R1279" t="s">
        <v>0</v>
      </c>
      <c r="S1279" t="s">
        <v>0</v>
      </c>
      <c r="T1279" t="s">
        <v>0</v>
      </c>
    </row>
    <row r="1280" spans="1:20" x14ac:dyDescent="0.25">
      <c r="A1280">
        <v>21500705</v>
      </c>
      <c r="B1280" t="s">
        <v>4</v>
      </c>
      <c r="C1280" t="s">
        <v>23</v>
      </c>
      <c r="D1280">
        <v>77</v>
      </c>
      <c r="E1280">
        <v>64</v>
      </c>
      <c r="F1280">
        <v>13</v>
      </c>
      <c r="G1280">
        <v>3</v>
      </c>
      <c r="H1280" s="1">
        <v>1.1226851851851851E-3</v>
      </c>
      <c r="I1280">
        <v>2015</v>
      </c>
      <c r="J1280" t="s">
        <v>12</v>
      </c>
      <c r="K1280" s="2" t="str">
        <f>HYPERLINK("https://www.nba.com/stats/events?CFID=&amp;CFPARAMS=&amp;GameEventID=339&amp;GameID=0021500705&amp;Season=2015-16&amp;flag=1&amp;title=Crabbe%201'%20Driving%20Layup%20(14%20PTS)%20(Leonard%203%20AST)", "Crabbe 1' Driving Layup (14 PTS) (Leonard 3 AST)")</f>
        <v>Crabbe 1' Driving Layup (14 PTS) (Leonard 3 AST)</v>
      </c>
      <c r="L1280" s="2" t="str">
        <f>HYPERLINK("https://www.nba.com/game/...-vs-...-0021500705/play-by-play?watchFullGame=true", "POR vs CHA - Q3 01:37.00")</f>
        <v>POR vs CHA - Q3 01:37.00</v>
      </c>
      <c r="M1280">
        <v>1</v>
      </c>
      <c r="N1280">
        <v>-14</v>
      </c>
      <c r="O1280">
        <v>2</v>
      </c>
      <c r="P1280">
        <v>-14</v>
      </c>
      <c r="Q1280">
        <v>2</v>
      </c>
      <c r="R1280" t="s">
        <v>0</v>
      </c>
      <c r="S1280" t="s">
        <v>0</v>
      </c>
      <c r="T1280" t="s">
        <v>0</v>
      </c>
    </row>
    <row r="1281" spans="1:20" x14ac:dyDescent="0.25">
      <c r="A1281">
        <v>21500760</v>
      </c>
      <c r="B1281" t="s">
        <v>4</v>
      </c>
      <c r="C1281" t="s">
        <v>9</v>
      </c>
      <c r="D1281">
        <v>34</v>
      </c>
      <c r="E1281">
        <v>23</v>
      </c>
      <c r="F1281">
        <v>11</v>
      </c>
      <c r="G1281">
        <v>2</v>
      </c>
      <c r="H1281" s="1">
        <v>7.6273148148148151E-3</v>
      </c>
      <c r="I1281">
        <v>2015</v>
      </c>
      <c r="J1281" t="s">
        <v>12</v>
      </c>
      <c r="K1281" s="2" t="str">
        <f>HYPERLINK("https://www.nba.com/stats/events?CFID=&amp;CFPARAMS=&amp;GameEventID=137&amp;GameID=0021500760&amp;Season=2015-16&amp;flag=1&amp;title=Henderson%2017'%20Jump%20Shot%20(5%20PTS)%20(Leonard%203%20AST)", "Henderson 17' Jump Shot (5 PTS) (Leonard 3 AST)")</f>
        <v>Henderson 17' Jump Shot (5 PTS) (Leonard 3 AST)</v>
      </c>
      <c r="L1281" s="2" t="str">
        <f>HYPERLINK("https://www.nba.com/game/...-vs-...-0021500760/play-by-play?watchFullGame=true", "POR vs HOU - Q2 10:59.00")</f>
        <v>POR vs HOU - Q2 10:59.00</v>
      </c>
      <c r="M1281">
        <v>17</v>
      </c>
      <c r="N1281">
        <v>-169</v>
      </c>
      <c r="O1281">
        <v>0</v>
      </c>
      <c r="P1281">
        <v>-169</v>
      </c>
      <c r="Q1281">
        <v>0</v>
      </c>
      <c r="R1281" t="s">
        <v>0</v>
      </c>
      <c r="S1281" t="s">
        <v>0</v>
      </c>
      <c r="T1281" t="s">
        <v>0</v>
      </c>
    </row>
    <row r="1282" spans="1:20" x14ac:dyDescent="0.25">
      <c r="A1282">
        <v>21500784</v>
      </c>
      <c r="B1282" t="s">
        <v>4</v>
      </c>
      <c r="C1282" t="s">
        <v>45</v>
      </c>
      <c r="D1282">
        <v>104</v>
      </c>
      <c r="E1282">
        <v>86</v>
      </c>
      <c r="F1282">
        <v>18</v>
      </c>
      <c r="G1282">
        <v>4</v>
      </c>
      <c r="H1282" s="1">
        <v>4.7916666666666663E-3</v>
      </c>
      <c r="I1282">
        <v>2015</v>
      </c>
      <c r="J1282" t="s">
        <v>7</v>
      </c>
      <c r="K1282" s="2" t="str">
        <f>HYPERLINK("https://www.nba.com/stats/events?CFID=&amp;CFPARAMS=&amp;GameEventID=449&amp;GameID=0021500784&amp;Season=2015-16&amp;flag=1&amp;title=Aldridge%20%20Alley%20Oop%20Dunk%20(26%20PTS)%20(Leonard%204%20AST)", "Aldridge  Alley Oop Dunk (26 PTS) (Leonard 4 AST)")</f>
        <v>Aldridge  Alley Oop Dunk (26 PTS) (Leonard 4 AST)</v>
      </c>
      <c r="L1282" s="2" t="str">
        <f>HYPERLINK("https://www.nba.com/game/...-vs-...-0021500784/play-by-play?watchFullGame=true", "SAS vs MIA - Q4 06:54.00")</f>
        <v>SAS vs MIA - Q4 06:54.00</v>
      </c>
      <c r="M1282">
        <v>0</v>
      </c>
      <c r="N1282">
        <v>0</v>
      </c>
      <c r="O1282">
        <v>1</v>
      </c>
      <c r="P1282">
        <v>0</v>
      </c>
      <c r="Q1282">
        <v>1</v>
      </c>
      <c r="R1282" t="s">
        <v>0</v>
      </c>
      <c r="S1282" t="s">
        <v>0</v>
      </c>
      <c r="T1282" t="s">
        <v>0</v>
      </c>
    </row>
    <row r="1283" spans="1:20" x14ac:dyDescent="0.25">
      <c r="A1283">
        <v>21500790</v>
      </c>
      <c r="B1283" t="s">
        <v>10</v>
      </c>
      <c r="C1283" t="s">
        <v>9</v>
      </c>
      <c r="D1283">
        <v>63</v>
      </c>
      <c r="E1283">
        <v>65</v>
      </c>
      <c r="F1283">
        <v>2</v>
      </c>
      <c r="G1283">
        <v>3</v>
      </c>
      <c r="H1283" s="1">
        <v>3.3217592592592591E-3</v>
      </c>
      <c r="I1283">
        <v>2015</v>
      </c>
      <c r="J1283" t="s">
        <v>7</v>
      </c>
      <c r="K1283" s="2" t="str">
        <f>HYPERLINK("https://www.nba.com/stats/events?CFID=&amp;CFPARAMS=&amp;GameEventID=324&amp;GameID=0021500790&amp;Season=2015-16&amp;flag=1&amp;title=Mills%2025'%203PT%20Jump%20Shot%20(10%20PTS)%20(Leonard%202%20AST)", "Mills 25' 3PT Jump Shot (10 PTS) (Leonard 2 AST)")</f>
        <v>Mills 25' 3PT Jump Shot (10 PTS) (Leonard 2 AST)</v>
      </c>
      <c r="L1283" s="2" t="str">
        <f>HYPERLINK("https://www.nba.com/game/...-vs-...-0021500790/play-by-play?watchFullGame=true", "SAS vs ORL - Q3 04:47.00")</f>
        <v>SAS vs ORL - Q3 04:47.00</v>
      </c>
      <c r="M1283">
        <v>25</v>
      </c>
      <c r="N1283">
        <v>-20</v>
      </c>
      <c r="O1283">
        <v>252</v>
      </c>
      <c r="P1283">
        <v>-20</v>
      </c>
      <c r="Q1283">
        <v>252</v>
      </c>
      <c r="R1283" t="s">
        <v>0</v>
      </c>
      <c r="S1283" t="s">
        <v>0</v>
      </c>
      <c r="T1283" t="s">
        <v>0</v>
      </c>
    </row>
    <row r="1284" spans="1:20" x14ac:dyDescent="0.25">
      <c r="A1284">
        <v>21500905</v>
      </c>
      <c r="B1284" t="s">
        <v>10</v>
      </c>
      <c r="C1284" t="s">
        <v>9</v>
      </c>
      <c r="D1284">
        <v>22</v>
      </c>
      <c r="E1284">
        <v>18</v>
      </c>
      <c r="F1284">
        <v>4</v>
      </c>
      <c r="G1284">
        <v>1</v>
      </c>
      <c r="H1284" s="1">
        <v>2.1759259259259258E-3</v>
      </c>
      <c r="I1284">
        <v>2015</v>
      </c>
      <c r="J1284" t="s">
        <v>7</v>
      </c>
      <c r="K1284" s="2" t="str">
        <f>HYPERLINK("https://www.nba.com/stats/events?CFID=&amp;CFPARAMS=&amp;GameEventID=79&amp;GameID=0021500905&amp;Season=2015-16&amp;flag=1&amp;title=Mills%2024'%203PT%20Jump%20Shot%20(3%20PTS)%20(Leonard%202%20AST)", "Mills 24' 3PT Jump Shot (3 PTS) (Leonard 2 AST)")</f>
        <v>Mills 24' 3PT Jump Shot (3 PTS) (Leonard 2 AST)</v>
      </c>
      <c r="L1284" s="2" t="str">
        <f>HYPERLINK("https://www.nba.com/game/...-vs-...-0021500905/play-by-play?watchFullGame=true", "SAS vs DET - Q1 03:08.00")</f>
        <v>SAS vs DET - Q1 03:08.00</v>
      </c>
      <c r="M1284">
        <v>24</v>
      </c>
      <c r="N1284">
        <v>150</v>
      </c>
      <c r="O1284">
        <v>193</v>
      </c>
      <c r="P1284">
        <v>150</v>
      </c>
      <c r="Q1284">
        <v>193</v>
      </c>
      <c r="R1284" t="s">
        <v>0</v>
      </c>
      <c r="S1284" t="s">
        <v>0</v>
      </c>
      <c r="T1284" t="s">
        <v>0</v>
      </c>
    </row>
    <row r="1285" spans="1:20" x14ac:dyDescent="0.25">
      <c r="A1285">
        <v>21500948</v>
      </c>
      <c r="B1285" t="s">
        <v>10</v>
      </c>
      <c r="C1285" t="s">
        <v>9</v>
      </c>
      <c r="D1285">
        <v>71</v>
      </c>
      <c r="E1285">
        <v>71</v>
      </c>
      <c r="F1285">
        <v>0</v>
      </c>
      <c r="G1285">
        <v>3</v>
      </c>
      <c r="H1285" s="1">
        <v>3.7499999999999999E-3</v>
      </c>
      <c r="I1285">
        <v>2015</v>
      </c>
      <c r="J1285" t="s">
        <v>12</v>
      </c>
      <c r="K1285" s="2" t="str">
        <f>HYPERLINK("https://www.nba.com/stats/events?CFID=&amp;CFPARAMS=&amp;GameEventID=366&amp;GameID=0021500948&amp;Season=2015-16&amp;flag=1&amp;title=Lillard%2028'%203PT%20Jump%20Shot%20(23%20PTS)%20(Leonard%203%20AST)", "Lillard 28' 3PT Jump Shot (23 PTS) (Leonard 3 AST)")</f>
        <v>Lillard 28' 3PT Jump Shot (23 PTS) (Leonard 3 AST)</v>
      </c>
      <c r="L1285" s="2" t="str">
        <f>HYPERLINK("https://www.nba.com/game/...-vs-...-0021500948/play-by-play?watchFullGame=true", "POR vs WAS - Q3 05:24.00")</f>
        <v>POR vs WAS - Q3 05:24.00</v>
      </c>
      <c r="M1285">
        <v>28</v>
      </c>
      <c r="N1285">
        <v>194</v>
      </c>
      <c r="O1285">
        <v>208</v>
      </c>
      <c r="P1285">
        <v>194</v>
      </c>
      <c r="Q1285">
        <v>208</v>
      </c>
      <c r="R1285" t="s">
        <v>0</v>
      </c>
      <c r="S1285" t="s">
        <v>0</v>
      </c>
      <c r="T1285" t="s">
        <v>0</v>
      </c>
    </row>
    <row r="1286" spans="1:20" x14ac:dyDescent="0.25">
      <c r="A1286">
        <v>21600003</v>
      </c>
      <c r="B1286" t="s">
        <v>4</v>
      </c>
      <c r="C1286" t="s">
        <v>6</v>
      </c>
      <c r="D1286">
        <v>57</v>
      </c>
      <c r="E1286">
        <v>44</v>
      </c>
      <c r="F1286">
        <v>13</v>
      </c>
      <c r="G1286">
        <v>2</v>
      </c>
      <c r="H1286" s="1">
        <v>7.1759259259259259E-4</v>
      </c>
      <c r="I1286">
        <v>2016</v>
      </c>
      <c r="J1286" t="s">
        <v>7</v>
      </c>
      <c r="K1286" s="2" t="str">
        <f>HYPERLINK("https://www.nba.com/stats/events?CFID=&amp;CFPARAMS=&amp;GameEventID=249&amp;GameID=0021600003&amp;Season=2016-17&amp;flag=1&amp;title=Aldridge%20%20Cutting%20Dunk%20Shot%20(12%20PTS)%20(Leonard%202%20AST)", "Aldridge  Cutting Dunk Shot (12 PTS) (Leonard 2 AST)")</f>
        <v>Aldridge  Cutting Dunk Shot (12 PTS) (Leonard 2 AST)</v>
      </c>
      <c r="L1286" s="2" t="str">
        <f>HYPERLINK("https://www.nba.com/game/...-vs-...-0021600003/play-by-play?watchFullGame=true", "SAS vs GSW - Q2 01:02.00")</f>
        <v>SAS vs GSW - Q2 01:02.00</v>
      </c>
      <c r="M1286">
        <v>0</v>
      </c>
      <c r="N1286">
        <v>0</v>
      </c>
      <c r="O1286">
        <v>1</v>
      </c>
      <c r="P1286">
        <v>0</v>
      </c>
      <c r="Q1286">
        <v>1</v>
      </c>
      <c r="R1286" t="s">
        <v>0</v>
      </c>
      <c r="S1286" t="s">
        <v>0</v>
      </c>
      <c r="T1286" t="s">
        <v>0</v>
      </c>
    </row>
    <row r="1287" spans="1:20" x14ac:dyDescent="0.25">
      <c r="A1287">
        <v>21501215</v>
      </c>
      <c r="B1287" t="s">
        <v>10</v>
      </c>
      <c r="C1287" t="s">
        <v>9</v>
      </c>
      <c r="D1287">
        <v>50</v>
      </c>
      <c r="E1287">
        <v>55</v>
      </c>
      <c r="F1287">
        <v>5</v>
      </c>
      <c r="G1287">
        <v>3</v>
      </c>
      <c r="H1287" s="1">
        <v>7.3726851851851852E-3</v>
      </c>
      <c r="I1287">
        <v>2015</v>
      </c>
      <c r="J1287" t="s">
        <v>7</v>
      </c>
      <c r="K1287" s="2" t="str">
        <f>HYPERLINK("https://www.nba.com/stats/events?CFID=&amp;CFPARAMS=&amp;GameEventID=250&amp;GameID=0021501215&amp;Season=2015-16&amp;flag=1&amp;title=Green%20%203PT%20Jump%20Shot%20(6%20PTS)%20(Leonard%205%20AST)", "Green  3PT Jump Shot (6 PTS) (Leonard 5 AST)")</f>
        <v>Green  3PT Jump Shot (6 PTS) (Leonard 5 AST)</v>
      </c>
      <c r="L1287" s="2" t="str">
        <f>HYPERLINK("https://www.nba.com/game/...-vs-...-0021501215/play-by-play?watchFullGame=true", "SAS vs OKC - Q3 10:37.00")</f>
        <v>SAS vs OKC - Q3 10:37.00</v>
      </c>
      <c r="M1287">
        <v>0</v>
      </c>
      <c r="N1287">
        <v>-228</v>
      </c>
      <c r="O1287">
        <v>3</v>
      </c>
      <c r="P1287">
        <v>-228</v>
      </c>
      <c r="Q1287">
        <v>3</v>
      </c>
      <c r="R1287" t="s">
        <v>0</v>
      </c>
      <c r="S1287" t="s">
        <v>0</v>
      </c>
      <c r="T1287" t="s">
        <v>0</v>
      </c>
    </row>
    <row r="1288" spans="1:20" x14ac:dyDescent="0.25">
      <c r="A1288">
        <v>21600016</v>
      </c>
      <c r="B1288" t="s">
        <v>4</v>
      </c>
      <c r="C1288" t="s">
        <v>5</v>
      </c>
      <c r="D1288">
        <v>66</v>
      </c>
      <c r="E1288">
        <v>68</v>
      </c>
      <c r="F1288">
        <v>2</v>
      </c>
      <c r="G1288">
        <v>3</v>
      </c>
      <c r="H1288" s="1">
        <v>2.3958333333333331E-3</v>
      </c>
      <c r="I1288">
        <v>2016</v>
      </c>
      <c r="J1288" t="s">
        <v>7</v>
      </c>
      <c r="K1288" s="2" t="str">
        <f>HYPERLINK("https://www.nba.com/stats/events?CFID=&amp;CFPARAMS=&amp;GameEventID=364&amp;GameID=0021600016&amp;Season=2016-17&amp;flag=1&amp;title=Dedmon%203'%20Layup%20(12%20PTS)%20(Leonard%204%20AST)", "Dedmon 3' Layup (12 PTS) (Leonard 4 AST)")</f>
        <v>Dedmon 3' Layup (12 PTS) (Leonard 4 AST)</v>
      </c>
      <c r="L1288" s="2" t="str">
        <f>HYPERLINK("https://www.nba.com/game/...-vs-...-0021600016/play-by-play?watchFullGame=true", "SAS vs SAC - Q3 03:27.00")</f>
        <v>SAS vs SAC - Q3 03:27.00</v>
      </c>
      <c r="M1288">
        <v>3</v>
      </c>
      <c r="N1288">
        <v>-14</v>
      </c>
      <c r="O1288">
        <v>31</v>
      </c>
      <c r="P1288">
        <v>-14</v>
      </c>
      <c r="Q1288">
        <v>31</v>
      </c>
      <c r="R1288" t="s">
        <v>0</v>
      </c>
      <c r="S1288" t="s">
        <v>0</v>
      </c>
      <c r="T1288" t="s">
        <v>0</v>
      </c>
    </row>
    <row r="1289" spans="1:20" x14ac:dyDescent="0.25">
      <c r="A1289">
        <v>21600037</v>
      </c>
      <c r="B1289" t="s">
        <v>10</v>
      </c>
      <c r="C1289" t="s">
        <v>9</v>
      </c>
      <c r="D1289">
        <v>55</v>
      </c>
      <c r="E1289">
        <v>44</v>
      </c>
      <c r="F1289">
        <v>11</v>
      </c>
      <c r="G1289">
        <v>3</v>
      </c>
      <c r="H1289" s="1">
        <v>8.0439814814814818E-3</v>
      </c>
      <c r="I1289">
        <v>2016</v>
      </c>
      <c r="J1289" t="s">
        <v>7</v>
      </c>
      <c r="K1289" s="2" t="str">
        <f>HYPERLINK("https://www.nba.com/stats/events?CFID=&amp;CFPARAMS=&amp;GameEventID=272&amp;GameID=0021600037&amp;Season=2016-17&amp;flag=1&amp;title=Gasol%203PT%20Jump%20Shot%20(15%20PTS)%20(Leonard%204%20AST)", "Gasol 3PT Jump Shot (15 PTS) (Leonard 4 AST)")</f>
        <v>Gasol 3PT Jump Shot (15 PTS) (Leonard 4 AST)</v>
      </c>
      <c r="L1289" s="2" t="str">
        <f>HYPERLINK("https://www.nba.com/game/...-vs-...-0021600037/play-by-play?watchFullGame=true", "SAS vs MIA - Q3 11:35.00")</f>
        <v>SAS vs MIA - Q3 11:35.00</v>
      </c>
      <c r="M1289">
        <v>0</v>
      </c>
      <c r="N1289">
        <v>-225</v>
      </c>
      <c r="O1289">
        <v>7</v>
      </c>
      <c r="P1289">
        <v>-225</v>
      </c>
      <c r="Q1289">
        <v>7</v>
      </c>
      <c r="R1289" t="s">
        <v>0</v>
      </c>
      <c r="S1289" t="s">
        <v>0</v>
      </c>
      <c r="T1289" t="s">
        <v>0</v>
      </c>
    </row>
    <row r="1290" spans="1:20" x14ac:dyDescent="0.25">
      <c r="A1290">
        <v>21600150</v>
      </c>
      <c r="B1290" t="s">
        <v>4</v>
      </c>
      <c r="C1290" t="s">
        <v>9</v>
      </c>
      <c r="D1290">
        <v>2</v>
      </c>
      <c r="E1290">
        <v>4</v>
      </c>
      <c r="F1290">
        <v>2</v>
      </c>
      <c r="G1290">
        <v>1</v>
      </c>
      <c r="H1290" s="1">
        <v>6.9675925925925929E-3</v>
      </c>
      <c r="I1290">
        <v>2016</v>
      </c>
      <c r="J1290" t="s">
        <v>7</v>
      </c>
      <c r="K1290" s="2" t="str">
        <f>HYPERLINK("https://www.nba.com/stats/events?CFID=&amp;CFPARAMS=&amp;GameEventID=14&amp;GameID=0021600150&amp;Season=2016-17&amp;flag=1&amp;title=Parker%2012'%20Jump%20Shot%20(2%20PTS)%20(Leonard%201%20AST)", "Parker 12' Jump Shot (2 PTS) (Leonard 1 AST)")</f>
        <v>Parker 12' Jump Shot (2 PTS) (Leonard 1 AST)</v>
      </c>
      <c r="L1290" s="2" t="str">
        <f>HYPERLINK("https://www.nba.com/game/...-vs-...-0021600150/play-by-play?watchFullGame=true", "SAS vs MIA - Q1 10:02.00")</f>
        <v>SAS vs MIA - Q1 10:02.00</v>
      </c>
      <c r="M1290">
        <v>12</v>
      </c>
      <c r="N1290">
        <v>82</v>
      </c>
      <c r="O1290">
        <v>82</v>
      </c>
      <c r="P1290">
        <v>82</v>
      </c>
      <c r="Q1290">
        <v>82</v>
      </c>
      <c r="R1290" t="s">
        <v>0</v>
      </c>
      <c r="S1290" t="s">
        <v>0</v>
      </c>
      <c r="T1290" t="s">
        <v>0</v>
      </c>
    </row>
    <row r="1291" spans="1:20" x14ac:dyDescent="0.25">
      <c r="A1291">
        <v>21600206</v>
      </c>
      <c r="B1291" t="s">
        <v>4</v>
      </c>
      <c r="C1291" t="s">
        <v>9</v>
      </c>
      <c r="D1291">
        <v>2</v>
      </c>
      <c r="E1291">
        <v>0</v>
      </c>
      <c r="F1291">
        <v>2</v>
      </c>
      <c r="G1291">
        <v>1</v>
      </c>
      <c r="H1291" s="1">
        <v>7.3032407407407404E-3</v>
      </c>
      <c r="I1291">
        <v>2016</v>
      </c>
      <c r="J1291" t="s">
        <v>7</v>
      </c>
      <c r="K1291" s="2" t="str">
        <f>HYPERLINK("https://www.nba.com/stats/events?CFID=&amp;CFPARAMS=&amp;GameEventID=11&amp;GameID=0021600206&amp;Season=2016-17&amp;flag=1&amp;title=Gasol%2017'%20Jump%20Shot%20(2%20PTS)%20(Leonard%201%20AST)", "Gasol 17' Jump Shot (2 PTS) (Leonard 1 AST)")</f>
        <v>Gasol 17' Jump Shot (2 PTS) (Leonard 1 AST)</v>
      </c>
      <c r="L1291" s="2" t="str">
        <f>HYPERLINK("https://www.nba.com/game/...-vs-...-0021600206/play-by-play?watchFullGame=true", "SAS vs DAL - Q1 10:31.00")</f>
        <v>SAS vs DAL - Q1 10:31.00</v>
      </c>
      <c r="M1291">
        <v>17</v>
      </c>
      <c r="N1291">
        <v>141</v>
      </c>
      <c r="O1291">
        <v>95</v>
      </c>
      <c r="P1291">
        <v>141</v>
      </c>
      <c r="Q1291">
        <v>95</v>
      </c>
      <c r="R1291" t="s">
        <v>0</v>
      </c>
      <c r="S1291" t="s">
        <v>0</v>
      </c>
      <c r="T1291" t="s">
        <v>0</v>
      </c>
    </row>
    <row r="1292" spans="1:20" x14ac:dyDescent="0.25">
      <c r="A1292">
        <v>21600213</v>
      </c>
      <c r="B1292" t="s">
        <v>10</v>
      </c>
      <c r="C1292" t="s">
        <v>9</v>
      </c>
      <c r="D1292">
        <v>75</v>
      </c>
      <c r="E1292">
        <v>71</v>
      </c>
      <c r="F1292">
        <v>4</v>
      </c>
      <c r="G1292">
        <v>3</v>
      </c>
      <c r="H1292" s="1">
        <v>3.2754629629629631E-3</v>
      </c>
      <c r="I1292">
        <v>2016</v>
      </c>
      <c r="J1292" t="s">
        <v>7</v>
      </c>
      <c r="K1292" s="2" t="str">
        <f>HYPERLINK("https://www.nba.com/stats/events?CFID=&amp;CFPARAMS=&amp;GameEventID=304&amp;GameID=0021600213&amp;Season=2016-17&amp;flag=1&amp;title=Ginobili%2025'%203PT%20Jump%20Shot%20(5%20PTS)%20(Leonard%202%20AST)", "Ginobili 25' 3PT Jump Shot (5 PTS) (Leonard 2 AST)")</f>
        <v>Ginobili 25' 3PT Jump Shot (5 PTS) (Leonard 2 AST)</v>
      </c>
      <c r="L1292" s="2" t="str">
        <f>HYPERLINK("https://www.nba.com/game/...-vs-...-0021600213/play-by-play?watchFullGame=true", "SAS vs CHA - Q3 04:43.00")</f>
        <v>SAS vs CHA - Q3 04:43.00</v>
      </c>
      <c r="M1292">
        <v>25</v>
      </c>
      <c r="N1292">
        <v>194</v>
      </c>
      <c r="O1292">
        <v>160</v>
      </c>
      <c r="P1292">
        <v>194</v>
      </c>
      <c r="Q1292">
        <v>160</v>
      </c>
      <c r="R1292" t="s">
        <v>0</v>
      </c>
      <c r="S1292" t="s">
        <v>0</v>
      </c>
      <c r="T1292" t="s">
        <v>0</v>
      </c>
    </row>
    <row r="1293" spans="1:20" x14ac:dyDescent="0.25">
      <c r="A1293">
        <v>21600325</v>
      </c>
      <c r="B1293" t="s">
        <v>4</v>
      </c>
      <c r="C1293" t="s">
        <v>5</v>
      </c>
      <c r="D1293">
        <v>107</v>
      </c>
      <c r="E1293">
        <v>115</v>
      </c>
      <c r="F1293">
        <v>8</v>
      </c>
      <c r="G1293">
        <v>4</v>
      </c>
      <c r="H1293" s="1">
        <v>1.9907407407407406E-4</v>
      </c>
      <c r="I1293">
        <v>2016</v>
      </c>
      <c r="J1293" t="s">
        <v>12</v>
      </c>
      <c r="K1293" s="2" t="str">
        <f>HYPERLINK("https://www.nba.com/stats/events?CFID=&amp;CFPARAMS=&amp;GameEventID=537&amp;GameID=0021600325&amp;Season=2016-17&amp;flag=1&amp;title=Plumlee%202'%20Layup%20(10%20PTS)%20(Leonard%201%20AST)", "Plumlee 2' Layup (10 PTS) (Leonard 1 AST)")</f>
        <v>Plumlee 2' Layup (10 PTS) (Leonard 1 AST)</v>
      </c>
      <c r="L1293" s="2" t="str">
        <f>HYPERLINK("https://www.nba.com/game/...-vs-...-0021600325/play-by-play?watchFullGame=true", "POR vs MIL - Q4 00:17.20")</f>
        <v>POR vs MIL - Q4 00:17.20</v>
      </c>
      <c r="M1293">
        <v>2</v>
      </c>
      <c r="N1293">
        <v>14</v>
      </c>
      <c r="O1293">
        <v>8</v>
      </c>
      <c r="P1293">
        <v>14</v>
      </c>
      <c r="Q1293">
        <v>8</v>
      </c>
      <c r="R1293" t="s">
        <v>0</v>
      </c>
      <c r="S1293" t="s">
        <v>0</v>
      </c>
      <c r="T1293" t="s">
        <v>0</v>
      </c>
    </row>
    <row r="1294" spans="1:20" x14ac:dyDescent="0.25">
      <c r="A1294">
        <v>21600525</v>
      </c>
      <c r="B1294" t="s">
        <v>10</v>
      </c>
      <c r="C1294" t="s">
        <v>9</v>
      </c>
      <c r="D1294">
        <v>37</v>
      </c>
      <c r="E1294">
        <v>23</v>
      </c>
      <c r="F1294">
        <v>14</v>
      </c>
      <c r="G1294">
        <v>2</v>
      </c>
      <c r="H1294" s="1">
        <v>6.2152777777777779E-3</v>
      </c>
      <c r="I1294">
        <v>2016</v>
      </c>
      <c r="J1294" t="s">
        <v>7</v>
      </c>
      <c r="K1294" s="2" t="str">
        <f>HYPERLINK("https://www.nba.com/stats/events?CFID=&amp;CFPARAMS=&amp;GameEventID=156&amp;GameID=0021600525&amp;Season=2016-17&amp;flag=1&amp;title=Aldridge%2024'%203PT%20Jump%20Shot%20(11%20PTS)%20(Leonard%202%20AST)", "Aldridge 24' 3PT Jump Shot (11 PTS) (Leonard 2 AST)")</f>
        <v>Aldridge 24' 3PT Jump Shot (11 PTS) (Leonard 2 AST)</v>
      </c>
      <c r="L1294" s="2" t="str">
        <f>HYPERLINK("https://www.nba.com/game/...-vs-...-0021600525/play-by-play?watchFullGame=true", "SAS vs TOR - Q2 08:57.00")</f>
        <v>SAS vs TOR - Q2 08:57.00</v>
      </c>
      <c r="M1294">
        <v>24</v>
      </c>
      <c r="N1294">
        <v>22</v>
      </c>
      <c r="O1294">
        <v>242</v>
      </c>
      <c r="P1294">
        <v>22</v>
      </c>
      <c r="Q1294">
        <v>242</v>
      </c>
      <c r="R1294" t="s">
        <v>0</v>
      </c>
      <c r="S1294" t="s">
        <v>0</v>
      </c>
      <c r="T1294" t="s">
        <v>0</v>
      </c>
    </row>
    <row r="1295" spans="1:20" x14ac:dyDescent="0.25">
      <c r="A1295">
        <v>21700652</v>
      </c>
      <c r="B1295" t="s">
        <v>10</v>
      </c>
      <c r="C1295" t="s">
        <v>9</v>
      </c>
      <c r="D1295">
        <v>60</v>
      </c>
      <c r="E1295">
        <v>49</v>
      </c>
      <c r="F1295">
        <v>11</v>
      </c>
      <c r="G1295">
        <v>2</v>
      </c>
      <c r="H1295" s="1">
        <v>1.1458333333333333E-3</v>
      </c>
      <c r="I1295">
        <v>2017</v>
      </c>
      <c r="J1295" t="s">
        <v>12</v>
      </c>
      <c r="K1295" s="2" t="str">
        <f>HYPERLINK("https://www.nba.com/stats/events?CFID=&amp;CFPARAMS=&amp;GameEventID=256&amp;GameID=0021700652&amp;Season=2017-18&amp;flag=1&amp;title=McCollum%203PT%20Jump%20Shot%20(14%20PTS)%20(Leonard%201%20AST)", "McCollum 3PT Jump Shot (14 PTS) (Leonard 1 AST)")</f>
        <v>McCollum 3PT Jump Shot (14 PTS) (Leonard 1 AST)</v>
      </c>
      <c r="L1295" s="2" t="str">
        <f>HYPERLINK("https://www.nba.com/game/...-vs-...-0021700652/play-by-play?watchFullGame=true", "POR vs PHX - Q2 01:39.00")</f>
        <v>POR vs PHX - Q2 01:39.00</v>
      </c>
      <c r="M1295">
        <v>0</v>
      </c>
      <c r="N1295">
        <v>-230</v>
      </c>
      <c r="O1295">
        <v>30</v>
      </c>
      <c r="P1295">
        <v>-230</v>
      </c>
      <c r="Q1295">
        <v>30</v>
      </c>
      <c r="R1295" t="s">
        <v>0</v>
      </c>
      <c r="S1295" t="s">
        <v>0</v>
      </c>
      <c r="T1295" t="s">
        <v>0</v>
      </c>
    </row>
    <row r="1296" spans="1:20" x14ac:dyDescent="0.25">
      <c r="A1296">
        <v>21701154</v>
      </c>
      <c r="B1296" t="s">
        <v>4</v>
      </c>
      <c r="C1296" t="s">
        <v>5</v>
      </c>
      <c r="D1296">
        <v>86</v>
      </c>
      <c r="E1296">
        <v>68</v>
      </c>
      <c r="F1296">
        <v>18</v>
      </c>
      <c r="G1296">
        <v>3</v>
      </c>
      <c r="H1296" s="1">
        <v>1.6782407407407408E-3</v>
      </c>
      <c r="I1296">
        <v>2017</v>
      </c>
      <c r="J1296" t="s">
        <v>12</v>
      </c>
      <c r="K1296" s="2" t="str">
        <f>HYPERLINK("https://www.nba.com/stats/events?CFID=&amp;CFPARAMS=&amp;GameEventID=438&amp;GameID=0021701154&amp;Season=2017-18&amp;flag=1&amp;title=McCollum%201'%20Layup%20(20%20PTS)%20(Leonard%202%20AST)", "McCollum 1' Layup (20 PTS) (Leonard 2 AST)")</f>
        <v>McCollum 1' Layup (20 PTS) (Leonard 2 AST)</v>
      </c>
      <c r="L1296" s="2" t="str">
        <f>HYPERLINK("https://www.nba.com/game/...-vs-...-0021701154/play-by-play?watchFullGame=true", "POR vs MEM - Q3 02:25.00")</f>
        <v>POR vs MEM - Q3 02:25.00</v>
      </c>
      <c r="M1296">
        <v>1</v>
      </c>
      <c r="N1296">
        <v>9</v>
      </c>
      <c r="O1296">
        <v>8</v>
      </c>
      <c r="P1296">
        <v>9</v>
      </c>
      <c r="Q1296">
        <v>8</v>
      </c>
      <c r="R1296" t="s">
        <v>0</v>
      </c>
      <c r="S1296" t="s">
        <v>0</v>
      </c>
      <c r="T1296" t="s">
        <v>0</v>
      </c>
    </row>
    <row r="1297" spans="1:20" x14ac:dyDescent="0.25">
      <c r="A1297">
        <v>21800008</v>
      </c>
      <c r="B1297" t="s">
        <v>10</v>
      </c>
      <c r="C1297" t="s">
        <v>9</v>
      </c>
      <c r="D1297">
        <v>16</v>
      </c>
      <c r="E1297">
        <v>14</v>
      </c>
      <c r="F1297">
        <v>2</v>
      </c>
      <c r="G1297">
        <v>1</v>
      </c>
      <c r="H1297" s="1">
        <v>3.6921296296296298E-3</v>
      </c>
      <c r="I1297">
        <v>2018</v>
      </c>
      <c r="J1297" t="s">
        <v>1</v>
      </c>
      <c r="K1297" s="2" t="str">
        <f>HYPERLINK("https://www.nba.com/stats/events?CFID=&amp;CFPARAMS=&amp;GameEventID=83&amp;GameID=0021800008&amp;Season=2018-19&amp;flag=1&amp;title=Lowry%2028'%203PT%20Jump%20Shot%20(5%20PTS)%20(Leonard%201%20AST)", "Lowry 28' 3PT Jump Shot (5 PTS) (Leonard 1 AST)")</f>
        <v>Lowry 28' 3PT Jump Shot (5 PTS) (Leonard 1 AST)</v>
      </c>
      <c r="L1297" s="2" t="str">
        <f>HYPERLINK("https://www.nba.com/game/...-vs-...-0021800008/play-by-play?watchFullGame=true", "TOR vs CLE - Q1 05:19.00")</f>
        <v>TOR vs CLE - Q1 05:19.00</v>
      </c>
      <c r="M1297">
        <v>28</v>
      </c>
      <c r="N1297">
        <v>57</v>
      </c>
      <c r="O1297">
        <v>279</v>
      </c>
      <c r="P1297">
        <v>57</v>
      </c>
      <c r="Q1297">
        <v>279</v>
      </c>
      <c r="R1297" t="s">
        <v>0</v>
      </c>
      <c r="S1297" t="s">
        <v>0</v>
      </c>
      <c r="T1297" t="s">
        <v>0</v>
      </c>
    </row>
    <row r="1298" spans="1:20" x14ac:dyDescent="0.25">
      <c r="A1298">
        <v>21800069</v>
      </c>
      <c r="B1298" t="s">
        <v>10</v>
      </c>
      <c r="C1298" t="s">
        <v>9</v>
      </c>
      <c r="D1298">
        <v>10</v>
      </c>
      <c r="E1298">
        <v>2</v>
      </c>
      <c r="F1298">
        <v>8</v>
      </c>
      <c r="G1298">
        <v>1</v>
      </c>
      <c r="H1298" s="1">
        <v>5.9490740740740745E-3</v>
      </c>
      <c r="I1298">
        <v>2018</v>
      </c>
      <c r="J1298" t="s">
        <v>1</v>
      </c>
      <c r="K1298" s="2" t="str">
        <f>HYPERLINK("https://www.nba.com/stats/events?CFID=&amp;CFPARAMS=&amp;GameEventID=42&amp;GameID=0021800069&amp;Season=2018-19&amp;flag=1&amp;title=Green%203PT%20Jump%20Shot%20(6%20PTS)%20(Leonard%202%20AST)", "Green 3PT Jump Shot (6 PTS) (Leonard 2 AST)")</f>
        <v>Green 3PT Jump Shot (6 PTS) (Leonard 2 AST)</v>
      </c>
      <c r="L1298" s="2" t="str">
        <f>HYPERLINK("https://www.nba.com/game/...-vs-...-0021800069/play-by-play?watchFullGame=true", "TOR vs DAL - Q1 08:34.00")</f>
        <v>TOR vs DAL - Q1 08:34.00</v>
      </c>
      <c r="M1298">
        <v>0</v>
      </c>
      <c r="N1298">
        <v>228</v>
      </c>
      <c r="O1298">
        <v>2</v>
      </c>
      <c r="P1298">
        <v>228</v>
      </c>
      <c r="Q1298">
        <v>2</v>
      </c>
      <c r="R1298" t="s">
        <v>0</v>
      </c>
      <c r="S1298" t="s">
        <v>0</v>
      </c>
      <c r="T1298" t="s">
        <v>0</v>
      </c>
    </row>
    <row r="1299" spans="1:20" x14ac:dyDescent="0.25">
      <c r="A1299">
        <v>21800152</v>
      </c>
      <c r="B1299" t="s">
        <v>4</v>
      </c>
      <c r="C1299" t="s">
        <v>23</v>
      </c>
      <c r="D1299">
        <v>35</v>
      </c>
      <c r="E1299">
        <v>31</v>
      </c>
      <c r="F1299">
        <v>4</v>
      </c>
      <c r="G1299">
        <v>2</v>
      </c>
      <c r="H1299" s="1">
        <v>8.067129629629629E-3</v>
      </c>
      <c r="I1299">
        <v>2018</v>
      </c>
      <c r="J1299" t="s">
        <v>12</v>
      </c>
      <c r="K1299" s="2" t="str">
        <f>HYPERLINK("https://www.nba.com/stats/events?CFID=&amp;CFPARAMS=&amp;GameEventID=168&amp;GameID=0021800152&amp;Season=2018-19&amp;flag=1&amp;title=Turner%201'%20Driving%20Layup%20(2%20PTS)%20(Leonard%201%20AST)", "Turner 1' Driving Layup (2 PTS) (Leonard 1 AST)")</f>
        <v>Turner 1' Driving Layup (2 PTS) (Leonard 1 AST)</v>
      </c>
      <c r="L1299" s="2" t="str">
        <f>HYPERLINK("https://www.nba.com/game/...-vs-...-0021800152/play-by-play?watchFullGame=true", "POR vs MIL - Q2 11:37.00")</f>
        <v>POR vs MIL - Q2 11:37.00</v>
      </c>
      <c r="M1299">
        <v>1</v>
      </c>
      <c r="N1299">
        <v>1</v>
      </c>
      <c r="O1299">
        <v>11</v>
      </c>
      <c r="P1299">
        <v>1</v>
      </c>
      <c r="Q1299">
        <v>11</v>
      </c>
      <c r="R1299" t="s">
        <v>0</v>
      </c>
      <c r="S1299" t="s">
        <v>0</v>
      </c>
      <c r="T1299" t="s">
        <v>0</v>
      </c>
    </row>
    <row r="1300" spans="1:20" x14ac:dyDescent="0.25">
      <c r="A1300">
        <v>21800192</v>
      </c>
      <c r="B1300" t="s">
        <v>10</v>
      </c>
      <c r="C1300" t="s">
        <v>9</v>
      </c>
      <c r="D1300">
        <v>57</v>
      </c>
      <c r="E1300">
        <v>60</v>
      </c>
      <c r="F1300">
        <v>3</v>
      </c>
      <c r="G1300">
        <v>2</v>
      </c>
      <c r="H1300" s="1">
        <v>1.4004629629629629E-3</v>
      </c>
      <c r="I1300">
        <v>2018</v>
      </c>
      <c r="J1300" t="s">
        <v>1</v>
      </c>
      <c r="K1300" s="2" t="str">
        <f>HYPERLINK("https://www.nba.com/stats/events?CFID=&amp;CFPARAMS=&amp;GameEventID=318&amp;GameID=0021800192&amp;Season=2018-19&amp;flag=1&amp;title=Ibaka%2025'%203PT%20Jump%20Shot%20(14%20PTS)%20(Leonard%201%20AST)", "Ibaka 25' 3PT Jump Shot (14 PTS) (Leonard 1 AST)")</f>
        <v>Ibaka 25' 3PT Jump Shot (14 PTS) (Leonard 1 AST)</v>
      </c>
      <c r="L1300" s="2" t="str">
        <f>HYPERLINK("https://www.nba.com/game/...-vs-...-0021800192/play-by-play?watchFullGame=true", "TOR vs NOP - Q2 02:01.00")</f>
        <v>TOR vs NOP - Q2 02:01.00</v>
      </c>
      <c r="M1300">
        <v>25</v>
      </c>
      <c r="N1300">
        <v>113</v>
      </c>
      <c r="O1300">
        <v>226</v>
      </c>
      <c r="P1300">
        <v>113</v>
      </c>
      <c r="Q1300">
        <v>226</v>
      </c>
      <c r="R1300" t="s">
        <v>0</v>
      </c>
      <c r="S1300" t="s">
        <v>0</v>
      </c>
      <c r="T1300" t="s">
        <v>0</v>
      </c>
    </row>
    <row r="1301" spans="1:20" x14ac:dyDescent="0.25">
      <c r="A1301">
        <v>21800206</v>
      </c>
      <c r="B1301" t="s">
        <v>4</v>
      </c>
      <c r="C1301" t="s">
        <v>36</v>
      </c>
      <c r="D1301">
        <v>25</v>
      </c>
      <c r="E1301">
        <v>20</v>
      </c>
      <c r="F1301">
        <v>5</v>
      </c>
      <c r="G1301">
        <v>1</v>
      </c>
      <c r="H1301" s="1">
        <v>2.2569444444444442E-3</v>
      </c>
      <c r="I1301">
        <v>2018</v>
      </c>
      <c r="J1301" t="s">
        <v>1</v>
      </c>
      <c r="K1301" s="2" t="str">
        <f>HYPERLINK("https://www.nba.com/stats/events?CFID=&amp;CFPARAMS=&amp;GameEventID=106&amp;GameID=0021800206&amp;Season=2018-19&amp;flag=1&amp;title=Siakam%201'%20Running%20Layup%20(4%20PTS)%20(Leonard%202%20AST)", "Siakam 1' Running Layup (4 PTS) (Leonard 2 AST)")</f>
        <v>Siakam 1' Running Layup (4 PTS) (Leonard 2 AST)</v>
      </c>
      <c r="L1301" s="2" t="str">
        <f>HYPERLINK("https://www.nba.com/game/...-vs-...-0021800206/play-by-play?watchFullGame=true", "TOR vs DET - Q1 03:15.00")</f>
        <v>TOR vs DET - Q1 03:15.00</v>
      </c>
      <c r="M1301">
        <v>1</v>
      </c>
      <c r="N1301">
        <v>-12</v>
      </c>
      <c r="O1301">
        <v>7</v>
      </c>
      <c r="P1301">
        <v>-12</v>
      </c>
      <c r="Q1301">
        <v>7</v>
      </c>
      <c r="R1301" t="s">
        <v>0</v>
      </c>
      <c r="S1301" t="s">
        <v>0</v>
      </c>
      <c r="T1301" t="s">
        <v>0</v>
      </c>
    </row>
    <row r="1302" spans="1:20" x14ac:dyDescent="0.25">
      <c r="A1302">
        <v>21800248</v>
      </c>
      <c r="B1302" t="s">
        <v>4</v>
      </c>
      <c r="C1302" t="s">
        <v>17</v>
      </c>
      <c r="D1302">
        <v>53</v>
      </c>
      <c r="E1302">
        <v>46</v>
      </c>
      <c r="F1302">
        <v>7</v>
      </c>
      <c r="G1302">
        <v>3</v>
      </c>
      <c r="H1302" s="1">
        <v>6.2615740740740739E-3</v>
      </c>
      <c r="I1302">
        <v>2018</v>
      </c>
      <c r="J1302" t="s">
        <v>1</v>
      </c>
      <c r="K1302" s="2" t="str">
        <f>HYPERLINK("https://www.nba.com/stats/events?CFID=&amp;CFPARAMS=&amp;GameEventID=340&amp;GameID=0021800248&amp;Season=2018-19&amp;flag=1&amp;title=Ibaka%206'%20Floating%20Jump%20Shot%20(10%20PTS)%20(Leonard%201%20AST)", "Ibaka 6' Floating Jump Shot (10 PTS) (Leonard 1 AST)")</f>
        <v>Ibaka 6' Floating Jump Shot (10 PTS) (Leonard 1 AST)</v>
      </c>
      <c r="L1302" s="2" t="str">
        <f>HYPERLINK("https://www.nba.com/game/...-vs-...-0021800248/play-by-play?watchFullGame=true", "TOR vs ORL - Q3 09:01.00")</f>
        <v>TOR vs ORL - Q3 09:01.00</v>
      </c>
      <c r="M1302">
        <v>6</v>
      </c>
      <c r="N1302">
        <v>-37</v>
      </c>
      <c r="O1302">
        <v>47</v>
      </c>
      <c r="P1302">
        <v>-37</v>
      </c>
      <c r="Q1302">
        <v>47</v>
      </c>
      <c r="R1302" t="s">
        <v>0</v>
      </c>
      <c r="S1302" t="s">
        <v>0</v>
      </c>
      <c r="T1302" t="s">
        <v>0</v>
      </c>
    </row>
    <row r="1303" spans="1:20" x14ac:dyDescent="0.25">
      <c r="A1303">
        <v>21800206</v>
      </c>
      <c r="B1303" t="s">
        <v>4</v>
      </c>
      <c r="C1303" t="s">
        <v>40</v>
      </c>
      <c r="D1303">
        <v>48</v>
      </c>
      <c r="E1303">
        <v>39</v>
      </c>
      <c r="F1303">
        <v>9</v>
      </c>
      <c r="G1303">
        <v>2</v>
      </c>
      <c r="H1303" s="1">
        <v>3.6111111111111109E-3</v>
      </c>
      <c r="I1303">
        <v>2018</v>
      </c>
      <c r="J1303" t="s">
        <v>1</v>
      </c>
      <c r="K1303" s="2" t="str">
        <f>HYPERLINK("https://www.nba.com/stats/events?CFID=&amp;CFPARAMS=&amp;GameEventID=250&amp;GameID=0021800206&amp;Season=2018-19&amp;flag=1&amp;title=Siakam%202'%20Running%20Reverse%20Layup%20(8%20PTS)%20(Leonard%203%20AST)", "Siakam 2' Running Reverse Layup (8 PTS) (Leonard 3 AST)")</f>
        <v>Siakam 2' Running Reverse Layup (8 PTS) (Leonard 3 AST)</v>
      </c>
      <c r="L1303" s="2" t="str">
        <f>HYPERLINK("https://www.nba.com/game/...-vs-...-0021800206/play-by-play?watchFullGame=true", "TOR vs DET - Q2 05:12.00")</f>
        <v>TOR vs DET - Q2 05:12.00</v>
      </c>
      <c r="M1303">
        <v>2</v>
      </c>
      <c r="N1303">
        <v>-2</v>
      </c>
      <c r="O1303">
        <v>15</v>
      </c>
      <c r="P1303">
        <v>-2</v>
      </c>
      <c r="Q1303">
        <v>15</v>
      </c>
      <c r="R1303" t="s">
        <v>0</v>
      </c>
      <c r="S1303" t="s">
        <v>0</v>
      </c>
      <c r="T1303" t="s">
        <v>0</v>
      </c>
    </row>
    <row r="1304" spans="1:20" x14ac:dyDescent="0.25">
      <c r="A1304">
        <v>21800271</v>
      </c>
      <c r="B1304" t="s">
        <v>10</v>
      </c>
      <c r="C1304" t="s">
        <v>9</v>
      </c>
      <c r="D1304">
        <v>89</v>
      </c>
      <c r="E1304">
        <v>81</v>
      </c>
      <c r="F1304">
        <v>8</v>
      </c>
      <c r="G1304">
        <v>3</v>
      </c>
      <c r="H1304" s="1">
        <v>3.6226851851851854E-3</v>
      </c>
      <c r="I1304">
        <v>2018</v>
      </c>
      <c r="J1304" t="s">
        <v>1</v>
      </c>
      <c r="K1304" s="2" t="str">
        <f>HYPERLINK("https://www.nba.com/stats/events?CFID=&amp;CFPARAMS=&amp;GameEventID=481&amp;GameID=0021800271&amp;Season=2018-19&amp;flag=1&amp;title=Anunoby%2025'%203PT%20Jump%20Shot%20(11%20PTS)%20(Leonard%201%20AST)", "Anunoby 25' 3PT Jump Shot (11 PTS) (Leonard 1 AST)")</f>
        <v>Anunoby 25' 3PT Jump Shot (11 PTS) (Leonard 1 AST)</v>
      </c>
      <c r="L1304" s="2" t="str">
        <f>HYPERLINK("https://www.nba.com/game/...-vs-...-0021800271/play-by-play?watchFullGame=true", "TOR vs WAS - Q3 05:13.00")</f>
        <v>TOR vs WAS - Q3 05:13.00</v>
      </c>
      <c r="M1304">
        <v>25</v>
      </c>
      <c r="N1304">
        <v>147</v>
      </c>
      <c r="O1304">
        <v>208</v>
      </c>
      <c r="P1304">
        <v>147</v>
      </c>
      <c r="Q1304">
        <v>208</v>
      </c>
      <c r="R1304" t="s">
        <v>0</v>
      </c>
      <c r="S1304" t="s">
        <v>0</v>
      </c>
      <c r="T1304" t="s">
        <v>0</v>
      </c>
    </row>
    <row r="1305" spans="1:20" x14ac:dyDescent="0.25">
      <c r="A1305">
        <v>21800316</v>
      </c>
      <c r="B1305" t="s">
        <v>10</v>
      </c>
      <c r="C1305" t="s">
        <v>9</v>
      </c>
      <c r="D1305">
        <v>101</v>
      </c>
      <c r="E1305">
        <v>90</v>
      </c>
      <c r="F1305">
        <v>11</v>
      </c>
      <c r="G1305">
        <v>4</v>
      </c>
      <c r="H1305" s="1">
        <v>7.5462962962962966E-3</v>
      </c>
      <c r="I1305">
        <v>2018</v>
      </c>
      <c r="J1305" t="s">
        <v>1</v>
      </c>
      <c r="K1305" s="2" t="str">
        <f>HYPERLINK("https://www.nba.com/stats/events?CFID=&amp;CFPARAMS=&amp;GameEventID=503&amp;GameID=0021800316&amp;Season=2018-19&amp;flag=1&amp;title=Wright%2025'%203PT%20Jump%20Shot%20(5%20PTS)%20(Leonard%202%20AST)", "Wright 25' 3PT Jump Shot (5 PTS) (Leonard 2 AST)")</f>
        <v>Wright 25' 3PT Jump Shot (5 PTS) (Leonard 2 AST)</v>
      </c>
      <c r="L1305" s="2" t="str">
        <f>HYPERLINK("https://www.nba.com/game/...-vs-...-0021800316/play-by-play?watchFullGame=true", "TOR vs GSW - Q4 10:52.00")</f>
        <v>TOR vs GSW - Q4 10:52.00</v>
      </c>
      <c r="M1305">
        <v>25</v>
      </c>
      <c r="N1305">
        <v>199</v>
      </c>
      <c r="O1305">
        <v>157</v>
      </c>
      <c r="P1305">
        <v>199</v>
      </c>
      <c r="Q1305">
        <v>157</v>
      </c>
      <c r="R1305" t="s">
        <v>0</v>
      </c>
      <c r="S1305" t="s">
        <v>0</v>
      </c>
      <c r="T1305" t="s">
        <v>0</v>
      </c>
    </row>
    <row r="1306" spans="1:20" x14ac:dyDescent="0.25">
      <c r="A1306">
        <v>21800371</v>
      </c>
      <c r="B1306" t="s">
        <v>4</v>
      </c>
      <c r="C1306" t="s">
        <v>18</v>
      </c>
      <c r="D1306">
        <v>42</v>
      </c>
      <c r="E1306">
        <v>47</v>
      </c>
      <c r="F1306">
        <v>5</v>
      </c>
      <c r="G1306">
        <v>2</v>
      </c>
      <c r="H1306" s="1">
        <v>1.6782407407407408E-3</v>
      </c>
      <c r="I1306">
        <v>2018</v>
      </c>
      <c r="J1306" t="s">
        <v>1</v>
      </c>
      <c r="K1306" s="2" t="str">
        <f>HYPERLINK("https://www.nba.com/stats/events?CFID=&amp;CFPARAMS=&amp;GameEventID=284&amp;GameID=0021800371&amp;Season=2018-19&amp;flag=1&amp;title=Valanciunas%20Hook%20Shot%20(12%20PTS)%20(Leonard%202%20AST)", "Valanciunas Hook Shot (12 PTS) (Leonard 2 AST)")</f>
        <v>Valanciunas Hook Shot (12 PTS) (Leonard 2 AST)</v>
      </c>
      <c r="L1306" s="2" t="str">
        <f>HYPERLINK("https://www.nba.com/game/...-vs-...-0021800371/play-by-play?watchFullGame=true", "TOR vs BKN - Q2 02:25.00")</f>
        <v>TOR vs BKN - Q2 02:25.00</v>
      </c>
      <c r="M1306">
        <v>0</v>
      </c>
      <c r="N1306">
        <v>-3</v>
      </c>
      <c r="O1306">
        <v>3</v>
      </c>
      <c r="P1306">
        <v>-3</v>
      </c>
      <c r="Q1306">
        <v>3</v>
      </c>
      <c r="R1306" t="s">
        <v>0</v>
      </c>
      <c r="S1306" t="s">
        <v>0</v>
      </c>
      <c r="T1306" t="s">
        <v>0</v>
      </c>
    </row>
    <row r="1307" spans="1:20" x14ac:dyDescent="0.25">
      <c r="A1307">
        <v>21800371</v>
      </c>
      <c r="B1307" t="s">
        <v>10</v>
      </c>
      <c r="C1307" t="s">
        <v>9</v>
      </c>
      <c r="D1307">
        <v>90</v>
      </c>
      <c r="E1307">
        <v>94</v>
      </c>
      <c r="F1307">
        <v>4</v>
      </c>
      <c r="G1307">
        <v>4</v>
      </c>
      <c r="H1307" s="1">
        <v>3.1597222222222222E-3</v>
      </c>
      <c r="I1307">
        <v>2018</v>
      </c>
      <c r="J1307" t="s">
        <v>1</v>
      </c>
      <c r="K1307" s="2" t="str">
        <f>HYPERLINK("https://www.nba.com/stats/events?CFID=&amp;CFPARAMS=&amp;GameEventID=595&amp;GameID=0021800371&amp;Season=2018-19&amp;flag=1&amp;title=VanVleet%203PT%20Jump%20Shot%20(8%20PTS)%20(Leonard%204%20AST)", "VanVleet 3PT Jump Shot (8 PTS) (Leonard 4 AST)")</f>
        <v>VanVleet 3PT Jump Shot (8 PTS) (Leonard 4 AST)</v>
      </c>
      <c r="L1307" s="2" t="str">
        <f>HYPERLINK("https://www.nba.com/game/...-vs-...-0021800371/play-by-play?watchFullGame=true", "TOR vs BKN - Q4 04:33.00")</f>
        <v>TOR vs BKN - Q4 04:33.00</v>
      </c>
      <c r="M1307">
        <v>0</v>
      </c>
      <c r="N1307">
        <v>-230</v>
      </c>
      <c r="O1307">
        <v>28</v>
      </c>
      <c r="P1307">
        <v>-230</v>
      </c>
      <c r="Q1307">
        <v>28</v>
      </c>
      <c r="R1307" t="s">
        <v>0</v>
      </c>
      <c r="S1307" t="s">
        <v>0</v>
      </c>
      <c r="T1307" t="s">
        <v>0</v>
      </c>
    </row>
    <row r="1308" spans="1:20" x14ac:dyDescent="0.25">
      <c r="A1308">
        <v>21800427</v>
      </c>
      <c r="B1308" t="s">
        <v>10</v>
      </c>
      <c r="C1308" t="s">
        <v>9</v>
      </c>
      <c r="D1308">
        <v>105</v>
      </c>
      <c r="E1308">
        <v>115</v>
      </c>
      <c r="F1308">
        <v>10</v>
      </c>
      <c r="G1308">
        <v>4</v>
      </c>
      <c r="H1308" s="1">
        <v>2.9166666666666668E-3</v>
      </c>
      <c r="I1308">
        <v>2018</v>
      </c>
      <c r="J1308" t="s">
        <v>1</v>
      </c>
      <c r="K1308" s="2" t="str">
        <f>HYPERLINK("https://www.nba.com/stats/events?CFID=&amp;CFPARAMS=&amp;GameEventID=540&amp;GameID=0021800427&amp;Season=2018-19&amp;flag=1&amp;title=Miles%203PT%20Jump%20Shot%20(10%20PTS)%20(Leonard%204%20AST)", "Miles 3PT Jump Shot (10 PTS) (Leonard 4 AST)")</f>
        <v>Miles 3PT Jump Shot (10 PTS) (Leonard 4 AST)</v>
      </c>
      <c r="L1308" s="2" t="str">
        <f>HYPERLINK("https://www.nba.com/game/...-vs-...-0021800427/play-by-play?watchFullGame=true", "TOR vs POR - Q4 04:12.00")</f>
        <v>TOR vs POR - Q4 04:12.00</v>
      </c>
      <c r="M1308">
        <v>0</v>
      </c>
      <c r="N1308">
        <v>-225</v>
      </c>
      <c r="O1308">
        <v>65</v>
      </c>
      <c r="P1308">
        <v>-225</v>
      </c>
      <c r="Q1308">
        <v>65</v>
      </c>
      <c r="R1308" t="s">
        <v>0</v>
      </c>
      <c r="S1308" t="s">
        <v>0</v>
      </c>
      <c r="T1308" t="s">
        <v>0</v>
      </c>
    </row>
    <row r="1309" spans="1:20" x14ac:dyDescent="0.25">
      <c r="A1309">
        <v>21800442</v>
      </c>
      <c r="B1309" t="s">
        <v>10</v>
      </c>
      <c r="C1309" t="s">
        <v>9</v>
      </c>
      <c r="D1309">
        <v>77</v>
      </c>
      <c r="E1309">
        <v>82</v>
      </c>
      <c r="F1309">
        <v>5</v>
      </c>
      <c r="G1309">
        <v>4</v>
      </c>
      <c r="H1309" s="1">
        <v>4.3287037037037035E-3</v>
      </c>
      <c r="I1309">
        <v>2018</v>
      </c>
      <c r="J1309" t="s">
        <v>1</v>
      </c>
      <c r="K1309" s="2" t="str">
        <f>HYPERLINK("https://www.nba.com/stats/events?CFID=&amp;CFPARAMS=&amp;GameEventID=516&amp;GameID=0021800442&amp;Season=2018-19&amp;flag=1&amp;title=Anunoby%2024'%203PT%20Jump%20Shot%20(6%20PTS)%20(Leonard%204%20AST)", "Anunoby 24' 3PT Jump Shot (6 PTS) (Leonard 4 AST)")</f>
        <v>Anunoby 24' 3PT Jump Shot (6 PTS) (Leonard 4 AST)</v>
      </c>
      <c r="L1309" s="2" t="str">
        <f>HYPERLINK("https://www.nba.com/game/...-vs-...-0021800442/play-by-play?watchFullGame=true", "TOR vs DEN - Q4 06:14.00")</f>
        <v>TOR vs DEN - Q4 06:14.00</v>
      </c>
      <c r="M1309">
        <v>24</v>
      </c>
      <c r="N1309">
        <v>122</v>
      </c>
      <c r="O1309">
        <v>211</v>
      </c>
      <c r="P1309">
        <v>122</v>
      </c>
      <c r="Q1309">
        <v>211</v>
      </c>
      <c r="R1309" t="s">
        <v>0</v>
      </c>
      <c r="S1309" t="s">
        <v>0</v>
      </c>
      <c r="T1309" t="s">
        <v>0</v>
      </c>
    </row>
    <row r="1310" spans="1:20" x14ac:dyDescent="0.25">
      <c r="A1310">
        <v>21800639</v>
      </c>
      <c r="B1310" t="s">
        <v>10</v>
      </c>
      <c r="C1310" t="s">
        <v>9</v>
      </c>
      <c r="D1310">
        <v>139</v>
      </c>
      <c r="E1310">
        <v>138</v>
      </c>
      <c r="F1310">
        <v>1</v>
      </c>
      <c r="G1310">
        <v>6</v>
      </c>
      <c r="H1310" s="1">
        <v>1.7592592592592592E-4</v>
      </c>
      <c r="I1310">
        <v>2018</v>
      </c>
      <c r="J1310" t="s">
        <v>1</v>
      </c>
      <c r="K1310" s="2" t="str">
        <f>HYPERLINK("https://www.nba.com/stats/events?CFID=&amp;CFPARAMS=&amp;GameEventID=832&amp;GameID=0021800639&amp;Season=2018-19&amp;flag=1&amp;title=Ibaka%2028'%203PT%20Jump%20Shot%20(10%20PTS)%20(Leonard%205%20AST)", "Ibaka 28' 3PT Jump Shot (10 PTS) (Leonard 5 AST)")</f>
        <v>Ibaka 28' 3PT Jump Shot (10 PTS) (Leonard 5 AST)</v>
      </c>
      <c r="L1310" s="2" t="str">
        <f>HYPERLINK("https://www.nba.com/game/...-vs-...-0021800639/play-by-play?watchFullGame=true", "TOR vs WAS - Q6 00:15.20")</f>
        <v>TOR vs WAS - Q6 00:15.20</v>
      </c>
      <c r="M1310">
        <v>28</v>
      </c>
      <c r="N1310">
        <v>-170</v>
      </c>
      <c r="O1310">
        <v>222</v>
      </c>
      <c r="P1310">
        <v>-170</v>
      </c>
      <c r="Q1310">
        <v>222</v>
      </c>
      <c r="R1310" t="s">
        <v>0</v>
      </c>
      <c r="S1310" t="s">
        <v>0</v>
      </c>
      <c r="T1310" t="s">
        <v>0</v>
      </c>
    </row>
    <row r="1311" spans="1:20" x14ac:dyDescent="0.25">
      <c r="A1311">
        <v>21500416</v>
      </c>
      <c r="B1311" t="s">
        <v>10</v>
      </c>
      <c r="C1311" t="s">
        <v>19</v>
      </c>
      <c r="D1311">
        <v>77</v>
      </c>
      <c r="E1311">
        <v>68</v>
      </c>
      <c r="F1311">
        <v>9</v>
      </c>
      <c r="G1311">
        <v>3</v>
      </c>
      <c r="H1311" s="1">
        <v>5.1504629629629632E-4</v>
      </c>
      <c r="I1311">
        <v>2015</v>
      </c>
      <c r="J1311" t="s">
        <v>7</v>
      </c>
      <c r="K1311" s="2" t="str">
        <f>HYPERLINK("https://www.nba.com/stats/events?CFID=&amp;CFPARAMS=&amp;GameEventID=344&amp;GameID=0021500416&amp;Season=2015-16&amp;flag=1&amp;title=Green%2026'%203PT%20Pullup%20Jump%20Shot%20(3%20PTS)%20(Leonard%203%20AST)", "Green 26' 3PT Pullup Jump Shot (3 PTS) (Leonard 3 AST)")</f>
        <v>Green 26' 3PT Pullup Jump Shot (3 PTS) (Leonard 3 AST)</v>
      </c>
      <c r="L1311" s="2" t="str">
        <f>HYPERLINK("https://www.nba.com/game/...-vs-...-0021500416/play-by-play?watchFullGame=true", "SAS vs IND - Q3 00:44.50")</f>
        <v>SAS vs IND - Q3 00:44.50</v>
      </c>
      <c r="M1311">
        <v>26</v>
      </c>
      <c r="N1311">
        <v>-215</v>
      </c>
      <c r="O1311">
        <v>146</v>
      </c>
      <c r="P1311">
        <v>-215</v>
      </c>
      <c r="Q1311">
        <v>146</v>
      </c>
      <c r="R1311" t="s">
        <v>0</v>
      </c>
      <c r="S1311" t="s">
        <v>0</v>
      </c>
      <c r="T1311" t="s">
        <v>0</v>
      </c>
    </row>
    <row r="1312" spans="1:20" x14ac:dyDescent="0.25">
      <c r="A1312">
        <v>21500450</v>
      </c>
      <c r="B1312" t="s">
        <v>4</v>
      </c>
      <c r="C1312" t="s">
        <v>6</v>
      </c>
      <c r="D1312">
        <v>89</v>
      </c>
      <c r="E1312">
        <v>73</v>
      </c>
      <c r="F1312">
        <v>16</v>
      </c>
      <c r="G1312">
        <v>4</v>
      </c>
      <c r="H1312" s="1">
        <v>5.6249999999999998E-3</v>
      </c>
      <c r="I1312">
        <v>2015</v>
      </c>
      <c r="J1312" t="s">
        <v>7</v>
      </c>
      <c r="K1312" s="2" t="str">
        <f>HYPERLINK("https://www.nba.com/stats/events?CFID=&amp;CFPARAMS=&amp;GameEventID=371&amp;GameID=0021500450&amp;Season=2015-16&amp;flag=1&amp;title=Marjanovic%20%20Cutting%20Dunk%20Shot%20(8%20PTS)%20(Leonard%205%20AST)", "Marjanovic  Cutting Dunk Shot (8 PTS) (Leonard 5 AST)")</f>
        <v>Marjanovic  Cutting Dunk Shot (8 PTS) (Leonard 5 AST)</v>
      </c>
      <c r="L1312" s="2" t="str">
        <f>HYPERLINK("https://www.nba.com/game/...-vs-...-0021500450/play-by-play?watchFullGame=true", "SAS vs DEN - Q4 08:06.00")</f>
        <v>SAS vs DEN - Q4 08:06.00</v>
      </c>
      <c r="M1312">
        <v>0</v>
      </c>
      <c r="N1312">
        <v>0</v>
      </c>
      <c r="O1312">
        <v>1</v>
      </c>
      <c r="P1312">
        <v>0</v>
      </c>
      <c r="Q1312">
        <v>1</v>
      </c>
      <c r="R1312" t="s">
        <v>0</v>
      </c>
      <c r="S1312" t="s">
        <v>0</v>
      </c>
      <c r="T1312" t="s">
        <v>0</v>
      </c>
    </row>
    <row r="1313" spans="1:20" x14ac:dyDescent="0.25">
      <c r="A1313">
        <v>21500450</v>
      </c>
      <c r="B1313" t="s">
        <v>10</v>
      </c>
      <c r="C1313" t="s">
        <v>9</v>
      </c>
      <c r="D1313">
        <v>79</v>
      </c>
      <c r="E1313">
        <v>65</v>
      </c>
      <c r="F1313">
        <v>14</v>
      </c>
      <c r="G1313">
        <v>4</v>
      </c>
      <c r="H1313" s="1">
        <v>8.1250000000000003E-3</v>
      </c>
      <c r="I1313">
        <v>2015</v>
      </c>
      <c r="J1313" t="s">
        <v>7</v>
      </c>
      <c r="K1313" s="2" t="str">
        <f>HYPERLINK("https://www.nba.com/stats/events?CFID=&amp;CFPARAMS=&amp;GameEventID=343&amp;GameID=0021500450&amp;Season=2015-16&amp;flag=1&amp;title=Diaw%2026'%203PT%20Jump%20Shot%20(6%20PTS)%20(Leonard%203%20AST)", "Diaw 26' 3PT Jump Shot (6 PTS) (Leonard 3 AST)")</f>
        <v>Diaw 26' 3PT Jump Shot (6 PTS) (Leonard 3 AST)</v>
      </c>
      <c r="L1313" s="2" t="str">
        <f>HYPERLINK("https://www.nba.com/game/...-vs-...-0021500450/play-by-play?watchFullGame=true", "SAS vs DEN - Q4 11:42.00")</f>
        <v>SAS vs DEN - Q4 11:42.00</v>
      </c>
      <c r="M1313">
        <v>26</v>
      </c>
      <c r="N1313">
        <v>155</v>
      </c>
      <c r="O1313">
        <v>210</v>
      </c>
      <c r="P1313">
        <v>155</v>
      </c>
      <c r="Q1313">
        <v>210</v>
      </c>
      <c r="R1313" t="s">
        <v>0</v>
      </c>
      <c r="S1313" t="s">
        <v>0</v>
      </c>
      <c r="T1313" t="s">
        <v>0</v>
      </c>
    </row>
    <row r="1314" spans="1:20" x14ac:dyDescent="0.25">
      <c r="A1314">
        <v>21500453</v>
      </c>
      <c r="B1314" t="s">
        <v>10</v>
      </c>
      <c r="C1314" t="s">
        <v>9</v>
      </c>
      <c r="D1314">
        <v>58</v>
      </c>
      <c r="E1314">
        <v>30</v>
      </c>
      <c r="F1314">
        <v>28</v>
      </c>
      <c r="G1314">
        <v>2</v>
      </c>
      <c r="H1314" s="1">
        <v>1.6203703703703703E-3</v>
      </c>
      <c r="I1314">
        <v>2015</v>
      </c>
      <c r="J1314" t="s">
        <v>12</v>
      </c>
      <c r="K1314" s="2" t="str">
        <f>HYPERLINK("https://www.nba.com/stats/events?CFID=&amp;CFPARAMS=&amp;GameEventID=210&amp;GameID=0021500453&amp;Season=2015-16&amp;flag=1&amp;title=Crabbe%20%203PT%20Jump%20Shot%20(18%20PTS)%20(Leonard%203%20AST)", "Crabbe  3PT Jump Shot (18 PTS) (Leonard 3 AST)")</f>
        <v>Crabbe  3PT Jump Shot (18 PTS) (Leonard 3 AST)</v>
      </c>
      <c r="L1314" s="2" t="str">
        <f>HYPERLINK("https://www.nba.com/game/...-vs-...-0021500453/play-by-play?watchFullGame=true", "POR vs CLE - Q2 02:20.00")</f>
        <v>POR vs CLE - Q2 02:20.00</v>
      </c>
      <c r="M1314">
        <v>0</v>
      </c>
      <c r="N1314">
        <v>-228</v>
      </c>
      <c r="O1314">
        <v>3</v>
      </c>
      <c r="P1314">
        <v>-228</v>
      </c>
      <c r="Q1314">
        <v>3</v>
      </c>
      <c r="R1314" t="s">
        <v>0</v>
      </c>
      <c r="S1314" t="s">
        <v>0</v>
      </c>
      <c r="T1314" t="s">
        <v>0</v>
      </c>
    </row>
    <row r="1315" spans="1:20" x14ac:dyDescent="0.25">
      <c r="A1315">
        <v>21500662</v>
      </c>
      <c r="B1315" t="s">
        <v>4</v>
      </c>
      <c r="C1315" t="s">
        <v>28</v>
      </c>
      <c r="D1315">
        <v>41</v>
      </c>
      <c r="E1315">
        <v>24</v>
      </c>
      <c r="F1315">
        <v>17</v>
      </c>
      <c r="G1315">
        <v>2</v>
      </c>
      <c r="H1315" s="1">
        <v>7.6736111111111111E-3</v>
      </c>
      <c r="I1315">
        <v>2015</v>
      </c>
      <c r="J1315" t="s">
        <v>12</v>
      </c>
      <c r="K1315" s="2" t="str">
        <f>HYPERLINK("https://www.nba.com/stats/events?CFID=&amp;CFPARAMS=&amp;GameEventID=123&amp;GameID=0021500662&amp;Season=2015-16&amp;flag=1&amp;title=Crabbe%20%20Driving%20Finger%20Roll%20Layup%20(2%20PTS)%20(Leonard%201%20AST)", "Crabbe  Driving Finger Roll Layup (2 PTS) (Leonard 1 AST)")</f>
        <v>Crabbe  Driving Finger Roll Layup (2 PTS) (Leonard 1 AST)</v>
      </c>
      <c r="L1315" s="2" t="str">
        <f>HYPERLINK("https://www.nba.com/game/...-vs-...-0021500662/play-by-play?watchFullGame=true", "POR vs LAL - Q2 11:03.00")</f>
        <v>POR vs LAL - Q2 11:03.00</v>
      </c>
      <c r="M1315">
        <v>0</v>
      </c>
      <c r="N1315">
        <v>-1</v>
      </c>
      <c r="O1315">
        <v>2</v>
      </c>
      <c r="P1315">
        <v>-1</v>
      </c>
      <c r="Q1315">
        <v>2</v>
      </c>
      <c r="R1315" t="s">
        <v>0</v>
      </c>
      <c r="S1315" t="s">
        <v>0</v>
      </c>
      <c r="T1315" t="s">
        <v>0</v>
      </c>
    </row>
    <row r="1316" spans="1:20" x14ac:dyDescent="0.25">
      <c r="A1316">
        <v>21500675</v>
      </c>
      <c r="B1316" t="s">
        <v>4</v>
      </c>
      <c r="C1316" t="s">
        <v>30</v>
      </c>
      <c r="D1316">
        <v>49</v>
      </c>
      <c r="E1316">
        <v>62</v>
      </c>
      <c r="F1316">
        <v>13</v>
      </c>
      <c r="G1316">
        <v>3</v>
      </c>
      <c r="H1316" s="1">
        <v>7.8935185185185185E-3</v>
      </c>
      <c r="I1316">
        <v>2015</v>
      </c>
      <c r="J1316" t="s">
        <v>7</v>
      </c>
      <c r="K1316" s="2" t="str">
        <f>HYPERLINK("https://www.nba.com/stats/events?CFID=&amp;CFPARAMS=&amp;GameEventID=267&amp;GameID=0021500675&amp;Season=2015-16&amp;flag=1&amp;title=Aldridge%2013'%20Turnaround%20Fadeaway%20(5%20PTS)%20(Leonard%202%20AST)", "Aldridge 13' Turnaround Fadeaway (5 PTS) (Leonard 2 AST)")</f>
        <v>Aldridge 13' Turnaround Fadeaway (5 PTS) (Leonard 2 AST)</v>
      </c>
      <c r="L1316" s="2" t="str">
        <f>HYPERLINK("https://www.nba.com/game/...-vs-...-0021500675/play-by-play?watchFullGame=true", "SAS vs GSW - Q3 11:22.00")</f>
        <v>SAS vs GSW - Q3 11:22.00</v>
      </c>
      <c r="M1316">
        <v>13</v>
      </c>
      <c r="N1316">
        <v>-107</v>
      </c>
      <c r="O1316">
        <v>72</v>
      </c>
      <c r="P1316">
        <v>-107</v>
      </c>
      <c r="Q1316">
        <v>72</v>
      </c>
      <c r="R1316" t="s">
        <v>0</v>
      </c>
      <c r="S1316" t="s">
        <v>0</v>
      </c>
      <c r="T1316" t="s">
        <v>0</v>
      </c>
    </row>
    <row r="1317" spans="1:20" x14ac:dyDescent="0.25">
      <c r="A1317">
        <v>21500682</v>
      </c>
      <c r="B1317" t="s">
        <v>4</v>
      </c>
      <c r="C1317" t="s">
        <v>20</v>
      </c>
      <c r="D1317">
        <v>100</v>
      </c>
      <c r="E1317">
        <v>79</v>
      </c>
      <c r="F1317">
        <v>21</v>
      </c>
      <c r="G1317">
        <v>4</v>
      </c>
      <c r="H1317" s="1">
        <v>5.7407407407407407E-3</v>
      </c>
      <c r="I1317">
        <v>2015</v>
      </c>
      <c r="J1317" t="s">
        <v>12</v>
      </c>
      <c r="K1317" s="2" t="str">
        <f>HYPERLINK("https://www.nba.com/stats/events?CFID=&amp;CFPARAMS=&amp;GameEventID=467&amp;GameID=0021500682&amp;Season=2015-16&amp;flag=1&amp;title=Davis%202'%20Cutting%20Layup%20Shot%20(11%20PTS)%20(Leonard%203%20AST)", "Davis 2' Cutting Layup Shot (11 PTS) (Leonard 3 AST)")</f>
        <v>Davis 2' Cutting Layup Shot (11 PTS) (Leonard 3 AST)</v>
      </c>
      <c r="L1317" s="2" t="str">
        <f>HYPERLINK("https://www.nba.com/game/...-vs-...-0021500682/play-by-play?watchFullGame=true", "POR vs SAC - Q4 08:16.00")</f>
        <v>POR vs SAC - Q4 08:16.00</v>
      </c>
      <c r="M1317">
        <v>2</v>
      </c>
      <c r="N1317">
        <v>12</v>
      </c>
      <c r="O1317">
        <v>21</v>
      </c>
      <c r="P1317">
        <v>12</v>
      </c>
      <c r="Q1317">
        <v>21</v>
      </c>
      <c r="R1317" t="s">
        <v>0</v>
      </c>
      <c r="S1317" t="s">
        <v>0</v>
      </c>
      <c r="T1317" t="s">
        <v>0</v>
      </c>
    </row>
    <row r="1318" spans="1:20" x14ac:dyDescent="0.25">
      <c r="A1318">
        <v>21500705</v>
      </c>
      <c r="B1318" t="s">
        <v>4</v>
      </c>
      <c r="C1318" t="s">
        <v>9</v>
      </c>
      <c r="D1318">
        <v>89</v>
      </c>
      <c r="E1318">
        <v>71</v>
      </c>
      <c r="F1318">
        <v>18</v>
      </c>
      <c r="G1318">
        <v>4</v>
      </c>
      <c r="H1318" s="1">
        <v>7.3379629629629628E-3</v>
      </c>
      <c r="I1318">
        <v>2015</v>
      </c>
      <c r="J1318" t="s">
        <v>12</v>
      </c>
      <c r="K1318" s="2" t="str">
        <f>HYPERLINK("https://www.nba.com/stats/events?CFID=&amp;CFPARAMS=&amp;GameEventID=375&amp;GameID=0021500705&amp;Season=2015-16&amp;flag=1&amp;title=Crabbe%2020'%20Jump%20Shot%20(17%20PTS)%20(Leonard%204%20AST)", "Crabbe 20' Jump Shot (17 PTS) (Leonard 4 AST)")</f>
        <v>Crabbe 20' Jump Shot (17 PTS) (Leonard 4 AST)</v>
      </c>
      <c r="L1318" s="2" t="str">
        <f>HYPERLINK("https://www.nba.com/game/...-vs-...-0021500705/play-by-play?watchFullGame=true", "POR vs CHA - Q4 10:34.00")</f>
        <v>POR vs CHA - Q4 10:34.00</v>
      </c>
      <c r="M1318">
        <v>20</v>
      </c>
      <c r="N1318">
        <v>84</v>
      </c>
      <c r="O1318">
        <v>180</v>
      </c>
      <c r="P1318">
        <v>84</v>
      </c>
      <c r="Q1318">
        <v>180</v>
      </c>
      <c r="R1318" t="s">
        <v>0</v>
      </c>
      <c r="S1318" t="s">
        <v>0</v>
      </c>
      <c r="T1318" t="s">
        <v>0</v>
      </c>
    </row>
    <row r="1319" spans="1:20" x14ac:dyDescent="0.25">
      <c r="A1319">
        <v>21600003</v>
      </c>
      <c r="B1319" t="s">
        <v>10</v>
      </c>
      <c r="C1319" t="s">
        <v>19</v>
      </c>
      <c r="D1319">
        <v>107</v>
      </c>
      <c r="E1319">
        <v>82</v>
      </c>
      <c r="F1319">
        <v>25</v>
      </c>
      <c r="G1319">
        <v>4</v>
      </c>
      <c r="H1319" s="1">
        <v>7.037037037037037E-3</v>
      </c>
      <c r="I1319">
        <v>2016</v>
      </c>
      <c r="J1319" t="s">
        <v>7</v>
      </c>
      <c r="K1319" s="2" t="str">
        <f>HYPERLINK("https://www.nba.com/stats/events?CFID=&amp;CFPARAMS=&amp;GameEventID=420&amp;GameID=0021600003&amp;Season=2016-17&amp;flag=1&amp;title=Mills%2024'%203PT%20Pullup%20Jump%20Shot%20(11%20PTS)%20(Leonard%203%20AST)", "Mills 24' 3PT Pullup Jump Shot (11 PTS) (Leonard 3 AST)")</f>
        <v>Mills 24' 3PT Pullup Jump Shot (11 PTS) (Leonard 3 AST)</v>
      </c>
      <c r="L1319" s="2" t="str">
        <f>HYPERLINK("https://www.nba.com/game/...-vs-...-0021600003/play-by-play?watchFullGame=true", "SAS vs GSW - Q4 10:08.00")</f>
        <v>SAS vs GSW - Q4 10:08.00</v>
      </c>
      <c r="M1319">
        <v>24</v>
      </c>
      <c r="N1319">
        <v>-235</v>
      </c>
      <c r="O1319">
        <v>52</v>
      </c>
      <c r="P1319">
        <v>-235</v>
      </c>
      <c r="Q1319">
        <v>52</v>
      </c>
      <c r="R1319" t="s">
        <v>0</v>
      </c>
      <c r="S1319" t="s">
        <v>0</v>
      </c>
      <c r="T1319" t="s">
        <v>0</v>
      </c>
    </row>
    <row r="1320" spans="1:20" x14ac:dyDescent="0.25">
      <c r="A1320">
        <v>21600114</v>
      </c>
      <c r="B1320" t="s">
        <v>10</v>
      </c>
      <c r="C1320" t="s">
        <v>9</v>
      </c>
      <c r="D1320">
        <v>63</v>
      </c>
      <c r="E1320">
        <v>66</v>
      </c>
      <c r="F1320">
        <v>3</v>
      </c>
      <c r="G1320">
        <v>3</v>
      </c>
      <c r="H1320" s="1">
        <v>7.4884259259259262E-3</v>
      </c>
      <c r="I1320">
        <v>2016</v>
      </c>
      <c r="J1320" t="s">
        <v>7</v>
      </c>
      <c r="K1320" s="2" t="str">
        <f>HYPERLINK("https://www.nba.com/stats/events?CFID=&amp;CFPARAMS=&amp;GameEventID=308&amp;GameID=0021600114&amp;Season=2016-17&amp;flag=1&amp;title=Green%2025'%203PT%20Jump%20Shot%20(6%20PTS)%20(Leonard%201%20AST)", "Green 25' 3PT Jump Shot (6 PTS) (Leonard 1 AST)")</f>
        <v>Green 25' 3PT Jump Shot (6 PTS) (Leonard 1 AST)</v>
      </c>
      <c r="L1320" s="2" t="str">
        <f>HYPERLINK("https://www.nba.com/game/...-vs-...-0021600114/play-by-play?watchFullGame=true", "SAS vs HOU - Q3 10:47.00")</f>
        <v>SAS vs HOU - Q3 10:47.00</v>
      </c>
      <c r="M1320">
        <v>25</v>
      </c>
      <c r="N1320">
        <v>241</v>
      </c>
      <c r="O1320">
        <v>72</v>
      </c>
      <c r="P1320">
        <v>241</v>
      </c>
      <c r="Q1320">
        <v>72</v>
      </c>
      <c r="R1320" t="s">
        <v>0</v>
      </c>
      <c r="S1320" t="s">
        <v>0</v>
      </c>
      <c r="T1320" t="s">
        <v>0</v>
      </c>
    </row>
    <row r="1321" spans="1:20" x14ac:dyDescent="0.25">
      <c r="A1321">
        <v>21600182</v>
      </c>
      <c r="B1321" t="s">
        <v>10</v>
      </c>
      <c r="C1321" t="s">
        <v>9</v>
      </c>
      <c r="D1321">
        <v>17</v>
      </c>
      <c r="E1321">
        <v>9</v>
      </c>
      <c r="F1321">
        <v>8</v>
      </c>
      <c r="G1321">
        <v>1</v>
      </c>
      <c r="H1321" s="1">
        <v>3.3680555555555556E-3</v>
      </c>
      <c r="I1321">
        <v>2016</v>
      </c>
      <c r="J1321" t="s">
        <v>7</v>
      </c>
      <c r="K1321" s="2" t="str">
        <f>HYPERLINK("https://www.nba.com/stats/events?CFID=&amp;CFPARAMS=&amp;GameEventID=74&amp;GameID=0021600182&amp;Season=2016-17&amp;flag=1&amp;title=Mills%20%203PT%20Jump%20Shot%20(3%20PTS)%20(Leonard%203%20AST)", "Mills  3PT Jump Shot (3 PTS) (Leonard 3 AST)")</f>
        <v>Mills  3PT Jump Shot (3 PTS) (Leonard 3 AST)</v>
      </c>
      <c r="L1321" s="2" t="str">
        <f>HYPERLINK("https://www.nba.com/game/...-vs-...-0021600182/play-by-play?watchFullGame=true", "SAS vs LAL - Q1 04:51.00")</f>
        <v>SAS vs LAL - Q1 04:51.00</v>
      </c>
      <c r="M1321">
        <v>0</v>
      </c>
      <c r="N1321">
        <v>233</v>
      </c>
      <c r="O1321">
        <v>1</v>
      </c>
      <c r="P1321">
        <v>233</v>
      </c>
      <c r="Q1321">
        <v>1</v>
      </c>
      <c r="R1321" t="s">
        <v>0</v>
      </c>
      <c r="S1321" t="s">
        <v>0</v>
      </c>
      <c r="T1321" t="s">
        <v>0</v>
      </c>
    </row>
    <row r="1322" spans="1:20" x14ac:dyDescent="0.25">
      <c r="A1322">
        <v>21600558</v>
      </c>
      <c r="B1322" t="s">
        <v>10</v>
      </c>
      <c r="C1322" t="s">
        <v>9</v>
      </c>
      <c r="D1322">
        <v>45</v>
      </c>
      <c r="E1322">
        <v>42</v>
      </c>
      <c r="F1322">
        <v>3</v>
      </c>
      <c r="G1322">
        <v>2</v>
      </c>
      <c r="H1322" s="1">
        <v>1.8518518518518519E-3</v>
      </c>
      <c r="I1322">
        <v>2016</v>
      </c>
      <c r="J1322" t="s">
        <v>7</v>
      </c>
      <c r="K1322" s="2" t="str">
        <f>HYPERLINK("https://www.nba.com/stats/events?CFID=&amp;CFPARAMS=&amp;GameEventID=204&amp;GameID=0021600558&amp;Season=2016-17&amp;flag=1&amp;title=Mills%20%203PT%20Jump%20Shot%20(11%20PTS)%20(Leonard%202%20AST)", "Mills  3PT Jump Shot (11 PTS) (Leonard 2 AST)")</f>
        <v>Mills  3PT Jump Shot (11 PTS) (Leonard 2 AST)</v>
      </c>
      <c r="L1322" s="2" t="str">
        <f>HYPERLINK("https://www.nba.com/game/...-vs-...-0021600558/play-by-play?watchFullGame=true", "SAS vs CHA - Q2 02:40.00")</f>
        <v>SAS vs CHA - Q2 02:40.00</v>
      </c>
      <c r="M1322">
        <v>0</v>
      </c>
      <c r="N1322">
        <v>-225</v>
      </c>
      <c r="O1322">
        <v>-6</v>
      </c>
      <c r="P1322">
        <v>-225</v>
      </c>
      <c r="Q1322">
        <v>-6</v>
      </c>
      <c r="R1322" t="s">
        <v>0</v>
      </c>
      <c r="S1322" t="s">
        <v>0</v>
      </c>
      <c r="T1322" t="s">
        <v>0</v>
      </c>
    </row>
    <row r="1323" spans="1:20" x14ac:dyDescent="0.25">
      <c r="A1323">
        <v>21600614</v>
      </c>
      <c r="B1323" t="s">
        <v>10</v>
      </c>
      <c r="C1323" t="s">
        <v>9</v>
      </c>
      <c r="D1323">
        <v>82</v>
      </c>
      <c r="E1323">
        <v>101</v>
      </c>
      <c r="F1323">
        <v>19</v>
      </c>
      <c r="G1323">
        <v>4</v>
      </c>
      <c r="H1323" s="1">
        <v>7.4768518518518517E-3</v>
      </c>
      <c r="I1323">
        <v>2016</v>
      </c>
      <c r="J1323" t="s">
        <v>12</v>
      </c>
      <c r="K1323" s="2" t="str">
        <f>HYPERLINK("https://www.nba.com/stats/events?CFID=&amp;CFPARAMS=&amp;GameEventID=436&amp;GameID=0021600614&amp;Season=2016-17&amp;flag=1&amp;title=Turner%2025'%203PT%20Jump%20Shot%20(9%20PTS)%20(Leonard%201%20AST)", "Turner 25' 3PT Jump Shot (9 PTS) (Leonard 1 AST)")</f>
        <v>Turner 25' 3PT Jump Shot (9 PTS) (Leonard 1 AST)</v>
      </c>
      <c r="L1323" s="2" t="str">
        <f>HYPERLINK("https://www.nba.com/game/...-vs-...-0021600614/play-by-play?watchFullGame=true", "POR vs WAS - Q4 10:46.00")</f>
        <v>POR vs WAS - Q4 10:46.00</v>
      </c>
      <c r="M1323">
        <v>25</v>
      </c>
      <c r="N1323">
        <v>-135</v>
      </c>
      <c r="O1323">
        <v>214</v>
      </c>
      <c r="P1323">
        <v>-135</v>
      </c>
      <c r="Q1323">
        <v>214</v>
      </c>
      <c r="R1323" t="s">
        <v>0</v>
      </c>
      <c r="S1323" t="s">
        <v>0</v>
      </c>
      <c r="T1323" t="s">
        <v>0</v>
      </c>
    </row>
    <row r="1324" spans="1:20" x14ac:dyDescent="0.25">
      <c r="A1324">
        <v>21600657</v>
      </c>
      <c r="B1324" t="s">
        <v>10</v>
      </c>
      <c r="C1324" t="s">
        <v>9</v>
      </c>
      <c r="D1324">
        <v>73</v>
      </c>
      <c r="E1324">
        <v>73</v>
      </c>
      <c r="F1324">
        <v>0</v>
      </c>
      <c r="G1324">
        <v>3</v>
      </c>
      <c r="H1324" s="1">
        <v>4.31712962962963E-3</v>
      </c>
      <c r="I1324">
        <v>2016</v>
      </c>
      <c r="J1324" t="s">
        <v>7</v>
      </c>
      <c r="K1324" s="2" t="str">
        <f>HYPERLINK("https://www.nba.com/stats/events?CFID=&amp;CFPARAMS=&amp;GameEventID=285&amp;GameID=0021600657&amp;Season=2016-17&amp;flag=1&amp;title=Green%2026'%203PT%20Jump%20Shot%20(6%20PTS)%20(Leonard%203%20AST)", "Green 26' 3PT Jump Shot (6 PTS) (Leonard 3 AST)")</f>
        <v>Green 26' 3PT Jump Shot (6 PTS) (Leonard 3 AST)</v>
      </c>
      <c r="L1324" s="2" t="str">
        <f>HYPERLINK("https://www.nba.com/game/...-vs-...-0021600657/play-by-play?watchFullGame=true", "SAS vs CLE - Q3 06:13.00")</f>
        <v>SAS vs CLE - Q3 06:13.00</v>
      </c>
      <c r="M1324">
        <v>26</v>
      </c>
      <c r="N1324">
        <v>192</v>
      </c>
      <c r="O1324">
        <v>169</v>
      </c>
      <c r="P1324">
        <v>192</v>
      </c>
      <c r="Q1324">
        <v>169</v>
      </c>
      <c r="R1324" t="s">
        <v>0</v>
      </c>
      <c r="S1324" t="s">
        <v>0</v>
      </c>
      <c r="T1324" t="s">
        <v>0</v>
      </c>
    </row>
    <row r="1325" spans="1:20" x14ac:dyDescent="0.25">
      <c r="A1325">
        <v>21600728</v>
      </c>
      <c r="B1325" t="s">
        <v>10</v>
      </c>
      <c r="C1325" t="s">
        <v>9</v>
      </c>
      <c r="D1325">
        <v>105</v>
      </c>
      <c r="E1325">
        <v>83</v>
      </c>
      <c r="F1325">
        <v>22</v>
      </c>
      <c r="G1325">
        <v>4</v>
      </c>
      <c r="H1325" s="1">
        <v>3.2060185185185186E-3</v>
      </c>
      <c r="I1325">
        <v>2016</v>
      </c>
      <c r="J1325" t="s">
        <v>12</v>
      </c>
      <c r="K1325" s="2" t="str">
        <f>HYPERLINK("https://www.nba.com/stats/events?CFID=&amp;CFPARAMS=&amp;GameEventID=475&amp;GameID=0021600728&amp;Season=2016-17&amp;flag=1&amp;title=Crabbe%2024'%203PT%20Jump%20Shot%20(21%20PTS)%20(Leonard%202%20AST)", "Crabbe 24' 3PT Jump Shot (21 PTS) (Leonard 2 AST)")</f>
        <v>Crabbe 24' 3PT Jump Shot (21 PTS) (Leonard 2 AST)</v>
      </c>
      <c r="L1325" s="2" t="str">
        <f>HYPERLINK("https://www.nba.com/game/...-vs-...-0021600728/play-by-play?watchFullGame=true", "POR vs CHA - Q4 04:37.00")</f>
        <v>POR vs CHA - Q4 04:37.00</v>
      </c>
      <c r="M1325">
        <v>24</v>
      </c>
      <c r="N1325">
        <v>-237</v>
      </c>
      <c r="O1325">
        <v>28</v>
      </c>
      <c r="P1325">
        <v>-237</v>
      </c>
      <c r="Q1325">
        <v>28</v>
      </c>
      <c r="R1325" t="s">
        <v>0</v>
      </c>
      <c r="S1325" t="s">
        <v>0</v>
      </c>
      <c r="T1325" t="s">
        <v>0</v>
      </c>
    </row>
    <row r="1326" spans="1:20" x14ac:dyDescent="0.25">
      <c r="A1326">
        <v>21600801</v>
      </c>
      <c r="B1326" t="s">
        <v>10</v>
      </c>
      <c r="C1326" t="s">
        <v>9</v>
      </c>
      <c r="D1326">
        <v>41</v>
      </c>
      <c r="E1326">
        <v>32</v>
      </c>
      <c r="F1326">
        <v>9</v>
      </c>
      <c r="G1326">
        <v>2</v>
      </c>
      <c r="H1326" s="1">
        <v>3.5879629629629629E-3</v>
      </c>
      <c r="I1326">
        <v>2016</v>
      </c>
      <c r="J1326" t="s">
        <v>7</v>
      </c>
      <c r="K1326" s="2" t="str">
        <f>HYPERLINK("https://www.nba.com/stats/events?CFID=&amp;CFPARAMS=&amp;GameEventID=166&amp;GameID=0021600801&amp;Season=2016-17&amp;flag=1&amp;title=Green%20%203PT%20Jump%20Shot%20(6%20PTS)%20(Leonard%204%20AST)", "Green  3PT Jump Shot (6 PTS) (Leonard 4 AST)")</f>
        <v>Green  3PT Jump Shot (6 PTS) (Leonard 4 AST)</v>
      </c>
      <c r="L1326" s="2" t="str">
        <f>HYPERLINK("https://www.nba.com/game/...-vs-...-0021600801/play-by-play?watchFullGame=true", "SAS vs DET - Q2 05:10.00")</f>
        <v>SAS vs DET - Q2 05:10.00</v>
      </c>
      <c r="M1326">
        <v>0</v>
      </c>
      <c r="N1326">
        <v>230</v>
      </c>
      <c r="O1326">
        <v>26</v>
      </c>
      <c r="P1326">
        <v>230</v>
      </c>
      <c r="Q1326">
        <v>26</v>
      </c>
      <c r="R1326" t="s">
        <v>0</v>
      </c>
      <c r="S1326" t="s">
        <v>0</v>
      </c>
      <c r="T1326" t="s">
        <v>0</v>
      </c>
    </row>
    <row r="1327" spans="1:20" x14ac:dyDescent="0.25">
      <c r="A1327">
        <v>21600543</v>
      </c>
      <c r="B1327" t="s">
        <v>4</v>
      </c>
      <c r="C1327" t="s">
        <v>19</v>
      </c>
      <c r="D1327">
        <v>18</v>
      </c>
      <c r="E1327">
        <v>19</v>
      </c>
      <c r="F1327">
        <v>1</v>
      </c>
      <c r="G1327">
        <v>1</v>
      </c>
      <c r="H1327" s="1">
        <v>4.178240740740741E-3</v>
      </c>
      <c r="I1327">
        <v>2016</v>
      </c>
      <c r="J1327" t="s">
        <v>7</v>
      </c>
      <c r="K1327" s="2" t="str">
        <f>HYPERLINK("https://www.nba.com/stats/events?CFID=&amp;CFPARAMS=&amp;GameEventID=29&amp;GameID=0021600543&amp;Season=2016-17&amp;flag=1&amp;title=Parker%208'%20Pullup%20Jump%20Shot%20(7%20PTS)%20(Leonard%201%20AST)", "Parker 8' Pullup Jump Shot (7 PTS) (Leonard 1 AST)")</f>
        <v>Parker 8' Pullup Jump Shot (7 PTS) (Leonard 1 AST)</v>
      </c>
      <c r="L1327" s="2" t="str">
        <f>HYPERLINK("https://www.nba.com/game/...-vs-...-0021600543/play-by-play?watchFullGame=true", "SAS vs DEN - Q1 06:01.00")</f>
        <v>SAS vs DEN - Q1 06:01.00</v>
      </c>
      <c r="M1327">
        <v>8</v>
      </c>
      <c r="N1327">
        <v>-47</v>
      </c>
      <c r="O1327">
        <v>65</v>
      </c>
      <c r="P1327">
        <v>-47</v>
      </c>
      <c r="Q1327">
        <v>65</v>
      </c>
      <c r="R1327" t="s">
        <v>0</v>
      </c>
      <c r="S1327" t="s">
        <v>0</v>
      </c>
      <c r="T1327" t="s">
        <v>0</v>
      </c>
    </row>
    <row r="1328" spans="1:20" x14ac:dyDescent="0.25">
      <c r="A1328">
        <v>21600559</v>
      </c>
      <c r="B1328" t="s">
        <v>10</v>
      </c>
      <c r="C1328" t="s">
        <v>9</v>
      </c>
      <c r="D1328">
        <v>82</v>
      </c>
      <c r="E1328">
        <v>72</v>
      </c>
      <c r="F1328">
        <v>10</v>
      </c>
      <c r="G1328">
        <v>3</v>
      </c>
      <c r="H1328" s="1">
        <v>1.4814814814814814E-3</v>
      </c>
      <c r="I1328">
        <v>2016</v>
      </c>
      <c r="J1328" t="s">
        <v>12</v>
      </c>
      <c r="K1328" s="2" t="str">
        <f>HYPERLINK("https://www.nba.com/stats/events?CFID=&amp;CFPARAMS=&amp;GameEventID=314&amp;GameID=0021600559&amp;Season=2016-17&amp;flag=1&amp;title=Crabbe%2027'%203PT%20Jump%20Shot%20(20%20PTS)%20(Leonard%201%20AST)", "Crabbe 27' 3PT Jump Shot (20 PTS) (Leonard 1 AST)")</f>
        <v>Crabbe 27' 3PT Jump Shot (20 PTS) (Leonard 1 AST)</v>
      </c>
      <c r="L1328" s="2" t="str">
        <f>HYPERLINK("https://www.nba.com/game/...-vs-...-0021600559/play-by-play?watchFullGame=true", "POR vs DET - Q3 02:08.00")</f>
        <v>POR vs DET - Q3 02:08.00</v>
      </c>
      <c r="M1328">
        <v>27</v>
      </c>
      <c r="N1328">
        <v>-112</v>
      </c>
      <c r="O1328">
        <v>244</v>
      </c>
      <c r="P1328">
        <v>-112</v>
      </c>
      <c r="Q1328">
        <v>244</v>
      </c>
      <c r="R1328" t="s">
        <v>0</v>
      </c>
      <c r="S1328" t="s">
        <v>0</v>
      </c>
      <c r="T1328" t="s">
        <v>0</v>
      </c>
    </row>
    <row r="1329" spans="1:20" x14ac:dyDescent="0.25">
      <c r="A1329">
        <v>21600744</v>
      </c>
      <c r="B1329" t="s">
        <v>10</v>
      </c>
      <c r="C1329" t="s">
        <v>9</v>
      </c>
      <c r="D1329">
        <v>53</v>
      </c>
      <c r="E1329">
        <v>55</v>
      </c>
      <c r="F1329">
        <v>2</v>
      </c>
      <c r="G1329">
        <v>3</v>
      </c>
      <c r="H1329" s="1">
        <v>7.5810185185185182E-3</v>
      </c>
      <c r="I1329">
        <v>2016</v>
      </c>
      <c r="J1329" t="s">
        <v>7</v>
      </c>
      <c r="K1329" s="2" t="str">
        <f>HYPERLINK("https://www.nba.com/stats/events?CFID=&amp;CFPARAMS=&amp;GameEventID=334&amp;GameID=0021600744&amp;Season=2016-17&amp;flag=1&amp;title=Green%20%203PT%20Jump%20Shot%20(5%20PTS)%20(Leonard%202%20AST)", "Green  3PT Jump Shot (5 PTS) (Leonard 2 AST)")</f>
        <v>Green  3PT Jump Shot (5 PTS) (Leonard 2 AST)</v>
      </c>
      <c r="L1329" s="2" t="str">
        <f>HYPERLINK("https://www.nba.com/game/...-vs-...-0021600744/play-by-play?watchFullGame=true", "SAS vs PHI - Q3 10:55.00")</f>
        <v>SAS vs PHI - Q3 10:55.00</v>
      </c>
      <c r="M1329">
        <v>0</v>
      </c>
      <c r="N1329">
        <v>-223</v>
      </c>
      <c r="O1329">
        <v>-5</v>
      </c>
      <c r="P1329">
        <v>-223</v>
      </c>
      <c r="Q1329">
        <v>-5</v>
      </c>
      <c r="R1329" t="s">
        <v>0</v>
      </c>
      <c r="S1329" t="s">
        <v>0</v>
      </c>
      <c r="T1329" t="s">
        <v>0</v>
      </c>
    </row>
    <row r="1330" spans="1:20" x14ac:dyDescent="0.25">
      <c r="A1330">
        <v>21600817</v>
      </c>
      <c r="B1330" t="s">
        <v>10</v>
      </c>
      <c r="C1330" t="s">
        <v>9</v>
      </c>
      <c r="D1330">
        <v>35</v>
      </c>
      <c r="E1330">
        <v>30</v>
      </c>
      <c r="F1330">
        <v>5</v>
      </c>
      <c r="G1330">
        <v>2</v>
      </c>
      <c r="H1330" s="1">
        <v>4.1319444444444442E-3</v>
      </c>
      <c r="I1330">
        <v>2016</v>
      </c>
      <c r="J1330" t="s">
        <v>7</v>
      </c>
      <c r="K1330" s="2" t="str">
        <f>HYPERLINK("https://www.nba.com/stats/events?CFID=&amp;CFPARAMS=&amp;GameEventID=170&amp;GameID=0021600817&amp;Season=2016-17&amp;flag=1&amp;title=Bertans%20%203PT%20Jump%20Shot%20(3%20PTS)%20(Leonard%202%20AST)", "Bertans  3PT Jump Shot (3 PTS) (Leonard 2 AST)")</f>
        <v>Bertans  3PT Jump Shot (3 PTS) (Leonard 2 AST)</v>
      </c>
      <c r="L1330" s="2" t="str">
        <f>HYPERLINK("https://www.nba.com/game/...-vs-...-0021600817/play-by-play?watchFullGame=true", "SAS vs NYK - Q2 05:57.00")</f>
        <v>SAS vs NYK - Q2 05:57.00</v>
      </c>
      <c r="M1330">
        <v>0</v>
      </c>
      <c r="N1330">
        <v>-227</v>
      </c>
      <c r="O1330">
        <v>-31</v>
      </c>
      <c r="P1330">
        <v>-227</v>
      </c>
      <c r="Q1330">
        <v>-31</v>
      </c>
      <c r="R1330" t="s">
        <v>0</v>
      </c>
      <c r="S1330" t="s">
        <v>0</v>
      </c>
      <c r="T1330" t="s">
        <v>0</v>
      </c>
    </row>
    <row r="1331" spans="1:20" x14ac:dyDescent="0.25">
      <c r="A1331">
        <v>21600825</v>
      </c>
      <c r="B1331" t="s">
        <v>10</v>
      </c>
      <c r="C1331" t="s">
        <v>9</v>
      </c>
      <c r="D1331">
        <v>94</v>
      </c>
      <c r="E1331">
        <v>95</v>
      </c>
      <c r="F1331">
        <v>1</v>
      </c>
      <c r="G1331">
        <v>4</v>
      </c>
      <c r="H1331" s="1">
        <v>3.4953703703703705E-3</v>
      </c>
      <c r="I1331">
        <v>2016</v>
      </c>
      <c r="J1331" t="s">
        <v>7</v>
      </c>
      <c r="K1331" s="2" t="str">
        <f>HYPERLINK("https://www.nba.com/stats/events?CFID=&amp;CFPARAMS=&amp;GameEventID=450&amp;GameID=0021600825&amp;Season=2016-17&amp;flag=1&amp;title=Green%2025'%203PT%20Jump%20Shot%20(10%20PTS)%20(Leonard%203%20AST)", "Green 25' 3PT Jump Shot (10 PTS) (Leonard 3 AST)")</f>
        <v>Green 25' 3PT Jump Shot (10 PTS) (Leonard 3 AST)</v>
      </c>
      <c r="L1331" s="2" t="str">
        <f>HYPERLINK("https://www.nba.com/game/...-vs-...-0021600825/play-by-play?watchFullGame=true", "SAS vs IND - Q4 05:02.00")</f>
        <v>SAS vs IND - Q4 05:02.00</v>
      </c>
      <c r="M1331">
        <v>25</v>
      </c>
      <c r="N1331">
        <v>227</v>
      </c>
      <c r="O1331">
        <v>116</v>
      </c>
      <c r="P1331">
        <v>227</v>
      </c>
      <c r="Q1331">
        <v>116</v>
      </c>
      <c r="R1331" t="s">
        <v>0</v>
      </c>
      <c r="S1331" t="s">
        <v>0</v>
      </c>
      <c r="T1331" t="s">
        <v>0</v>
      </c>
    </row>
    <row r="1332" spans="1:20" x14ac:dyDescent="0.25">
      <c r="A1332">
        <v>21600830</v>
      </c>
      <c r="B1332" t="s">
        <v>10</v>
      </c>
      <c r="C1332" t="s">
        <v>9</v>
      </c>
      <c r="D1332">
        <v>8</v>
      </c>
      <c r="E1332">
        <v>7</v>
      </c>
      <c r="F1332">
        <v>1</v>
      </c>
      <c r="G1332">
        <v>1</v>
      </c>
      <c r="H1332" s="1">
        <v>5.208333333333333E-3</v>
      </c>
      <c r="I1332">
        <v>2016</v>
      </c>
      <c r="J1332" t="s">
        <v>12</v>
      </c>
      <c r="K1332" s="2" t="str">
        <f>HYPERLINK("https://www.nba.com/stats/events?CFID=&amp;CFPARAMS=&amp;GameEventID=35&amp;GameID=0021600830&amp;Season=2016-17&amp;flag=1&amp;title=Harkless%2025'%203PT%20Jump%20Shot%20(6%20PTS)%20(Leonard%202%20AST)", "Harkless 25' 3PT Jump Shot (6 PTS) (Leonard 2 AST)")</f>
        <v>Harkless 25' 3PT Jump Shot (6 PTS) (Leonard 2 AST)</v>
      </c>
      <c r="L1332" s="2" t="str">
        <f>HYPERLINK("https://www.nba.com/game/...-vs-...-0021600830/play-by-play?watchFullGame=true", "POR vs ATL - Q1 07:30.00")</f>
        <v>POR vs ATL - Q1 07:30.00</v>
      </c>
      <c r="M1332">
        <v>25</v>
      </c>
      <c r="N1332">
        <v>199</v>
      </c>
      <c r="O1332">
        <v>149</v>
      </c>
      <c r="P1332">
        <v>199</v>
      </c>
      <c r="Q1332">
        <v>149</v>
      </c>
      <c r="R1332" t="s">
        <v>0</v>
      </c>
      <c r="S1332" t="s">
        <v>0</v>
      </c>
      <c r="T1332" t="s">
        <v>0</v>
      </c>
    </row>
    <row r="1333" spans="1:20" x14ac:dyDescent="0.25">
      <c r="A1333">
        <v>21600908</v>
      </c>
      <c r="B1333" t="s">
        <v>4</v>
      </c>
      <c r="C1333" t="s">
        <v>31</v>
      </c>
      <c r="D1333">
        <v>26</v>
      </c>
      <c r="E1333">
        <v>20</v>
      </c>
      <c r="F1333">
        <v>6</v>
      </c>
      <c r="G1333">
        <v>1</v>
      </c>
      <c r="H1333" s="1">
        <v>7.291666666666667E-4</v>
      </c>
      <c r="I1333">
        <v>2016</v>
      </c>
      <c r="J1333" t="s">
        <v>12</v>
      </c>
      <c r="K1333" s="2" t="str">
        <f>HYPERLINK("https://www.nba.com/stats/events?CFID=&amp;CFPARAMS=&amp;GameEventID=116&amp;GameID=0021600908&amp;Season=2016-17&amp;flag=1&amp;title=Napier%202'%20Driving%20Reverse%20Layup%20(2%20PTS)%20(Leonard%201%20AST)", "Napier 2' Driving Reverse Layup (2 PTS) (Leonard 1 AST)")</f>
        <v>Napier 2' Driving Reverse Layup (2 PTS) (Leonard 1 AST)</v>
      </c>
      <c r="L1333" s="2" t="str">
        <f>HYPERLINK("https://www.nba.com/game/...-vs-...-0021600908/play-by-play?watchFullGame=true", "POR vs OKC - Q1 01:03.00")</f>
        <v>POR vs OKC - Q1 01:03.00</v>
      </c>
      <c r="M1333">
        <v>2</v>
      </c>
      <c r="N1333">
        <v>15</v>
      </c>
      <c r="O1333">
        <v>-5</v>
      </c>
      <c r="P1333">
        <v>15</v>
      </c>
      <c r="Q1333">
        <v>-5</v>
      </c>
      <c r="R1333" t="s">
        <v>0</v>
      </c>
      <c r="S1333" t="s">
        <v>0</v>
      </c>
      <c r="T1333" t="s">
        <v>0</v>
      </c>
    </row>
    <row r="1334" spans="1:20" x14ac:dyDescent="0.25">
      <c r="A1334">
        <v>21601011</v>
      </c>
      <c r="B1334" t="s">
        <v>4</v>
      </c>
      <c r="C1334" t="s">
        <v>29</v>
      </c>
      <c r="D1334">
        <v>16</v>
      </c>
      <c r="E1334">
        <v>11</v>
      </c>
      <c r="F1334">
        <v>5</v>
      </c>
      <c r="G1334">
        <v>1</v>
      </c>
      <c r="H1334" s="1">
        <v>4.6412037037037038E-3</v>
      </c>
      <c r="I1334">
        <v>2016</v>
      </c>
      <c r="J1334" t="s">
        <v>7</v>
      </c>
      <c r="K1334" s="2" t="str">
        <f>HYPERLINK("https://www.nba.com/stats/events?CFID=&amp;CFPARAMS=&amp;GameEventID=34&amp;GameID=0021601011&amp;Season=2016-17&amp;flag=1&amp;title=Aldridge%208'%20Driving%20Floating%20Jump%20Shot%20(6%20PTS)%20(Leonard%203%20AST)", "Aldridge 8' Driving Floating Jump Shot (6 PTS) (Leonard 3 AST)")</f>
        <v>Aldridge 8' Driving Floating Jump Shot (6 PTS) (Leonard 3 AST)</v>
      </c>
      <c r="L1334" s="2" t="str">
        <f>HYPERLINK("https://www.nba.com/game/...-vs-...-0021601011/play-by-play?watchFullGame=true", "SAS vs POR - Q1 06:41.00")</f>
        <v>SAS vs POR - Q1 06:41.00</v>
      </c>
      <c r="M1334">
        <v>8</v>
      </c>
      <c r="N1334">
        <v>51</v>
      </c>
      <c r="O1334">
        <v>67</v>
      </c>
      <c r="P1334">
        <v>51</v>
      </c>
      <c r="Q1334">
        <v>67</v>
      </c>
      <c r="R1334" t="s">
        <v>0</v>
      </c>
      <c r="S1334" t="s">
        <v>0</v>
      </c>
      <c r="T1334" t="s">
        <v>0</v>
      </c>
    </row>
    <row r="1335" spans="1:20" x14ac:dyDescent="0.25">
      <c r="A1335">
        <v>21300082</v>
      </c>
      <c r="B1335" t="s">
        <v>4</v>
      </c>
      <c r="C1335" t="s">
        <v>38</v>
      </c>
      <c r="D1335">
        <v>7</v>
      </c>
      <c r="E1335">
        <v>2</v>
      </c>
      <c r="F1335">
        <v>5</v>
      </c>
      <c r="G1335">
        <v>1</v>
      </c>
      <c r="H1335" s="1">
        <v>6.898148148148148E-3</v>
      </c>
      <c r="I1335">
        <v>2013</v>
      </c>
      <c r="J1335" t="s">
        <v>7</v>
      </c>
      <c r="K1335" s="2" t="str">
        <f>HYPERLINK("https://www.nba.com/stats/events?CFID=&amp;CFPARAMS=&amp;GameEventID=13&amp;GameID=0021300082&amp;Season=2013-14&amp;flag=1&amp;title=Duncan%201'%20Dunk%20(4%20PTS)%20(Leonard%201%20AST)", "Duncan 1' Dunk (4 PTS) (Leonard 1 AST)")</f>
        <v>Duncan 1' Dunk (4 PTS) (Leonard 1 AST)</v>
      </c>
      <c r="L1335" s="2" t="str">
        <f>HYPERLINK("https://www.nba.com/game/...-vs-...-0021300082/play-by-play?watchFullGame=true", "SAS vs GSW - Q1 09:56.00")</f>
        <v>SAS vs GSW - Q1 09:56.00</v>
      </c>
      <c r="M1335">
        <v>1</v>
      </c>
      <c r="N1335">
        <v>-5</v>
      </c>
      <c r="O1335">
        <v>4</v>
      </c>
      <c r="P1335">
        <v>-5</v>
      </c>
      <c r="Q1335">
        <v>4</v>
      </c>
      <c r="R1335" t="s">
        <v>0</v>
      </c>
      <c r="S1335" t="s">
        <v>0</v>
      </c>
      <c r="T1335" t="s">
        <v>0</v>
      </c>
    </row>
    <row r="1336" spans="1:20" x14ac:dyDescent="0.25">
      <c r="A1336">
        <v>21300133</v>
      </c>
      <c r="B1336" t="s">
        <v>4</v>
      </c>
      <c r="C1336" t="s">
        <v>26</v>
      </c>
      <c r="D1336">
        <v>31</v>
      </c>
      <c r="E1336">
        <v>37</v>
      </c>
      <c r="F1336">
        <v>6</v>
      </c>
      <c r="G1336">
        <v>2</v>
      </c>
      <c r="H1336" s="1">
        <v>5.0115740740740737E-3</v>
      </c>
      <c r="I1336">
        <v>2013</v>
      </c>
      <c r="J1336" t="s">
        <v>7</v>
      </c>
      <c r="K1336" s="2" t="str">
        <f>HYPERLINK("https://www.nba.com/stats/events?CFID=&amp;CFPARAMS=&amp;GameEventID=162&amp;GameID=0021300133&amp;Season=2013-14&amp;flag=1&amp;title=Diaw%201'%20Reverse%20Layup%20(8%20PTS)%20(Leonard%201%20AST)", "Diaw 1' Reverse Layup (8 PTS) (Leonard 1 AST)")</f>
        <v>Diaw 1' Reverse Layup (8 PTS) (Leonard 1 AST)</v>
      </c>
      <c r="L1336" s="2" t="str">
        <f>HYPERLINK("https://www.nba.com/game/...-vs-...-0021300133/play-by-play?watchFullGame=true", "SAS vs UTA - Q2 07:13.00")</f>
        <v>SAS vs UTA - Q2 07:13.00</v>
      </c>
      <c r="M1336">
        <v>1</v>
      </c>
      <c r="N1336">
        <v>0</v>
      </c>
      <c r="O1336">
        <v>-5</v>
      </c>
      <c r="P1336">
        <v>0</v>
      </c>
      <c r="Q1336">
        <v>-5</v>
      </c>
      <c r="R1336" t="s">
        <v>0</v>
      </c>
      <c r="S1336" t="s">
        <v>0</v>
      </c>
      <c r="T1336" t="s">
        <v>0</v>
      </c>
    </row>
    <row r="1337" spans="1:20" x14ac:dyDescent="0.25">
      <c r="A1337">
        <v>21300229</v>
      </c>
      <c r="B1337" t="s">
        <v>10</v>
      </c>
      <c r="C1337" t="s">
        <v>9</v>
      </c>
      <c r="D1337">
        <v>44</v>
      </c>
      <c r="E1337">
        <v>40</v>
      </c>
      <c r="F1337">
        <v>4</v>
      </c>
      <c r="G1337">
        <v>2</v>
      </c>
      <c r="H1337" s="1">
        <v>3.9467592592592592E-3</v>
      </c>
      <c r="I1337">
        <v>2013</v>
      </c>
      <c r="J1337" t="s">
        <v>7</v>
      </c>
      <c r="K1337" s="2" t="str">
        <f>HYPERLINK("https://www.nba.com/stats/events?CFID=&amp;CFPARAMS=&amp;GameEventID=166&amp;GameID=0021300229&amp;Season=2013-14&amp;flag=1&amp;title=Belinelli%2030'%203PT%20Jump%20Shot%20(13%20PTS)%20(Leonard%201%20AST)", "Belinelli 30' 3PT Jump Shot (13 PTS) (Leonard 1 AST)")</f>
        <v>Belinelli 30' 3PT Jump Shot (13 PTS) (Leonard 1 AST)</v>
      </c>
      <c r="L1337" s="2" t="str">
        <f>HYPERLINK("https://www.nba.com/game/...-vs-...-0021300229/play-by-play?watchFullGame=true", "SAS vs ORL - Q2 05:41.00")</f>
        <v>SAS vs ORL - Q2 05:41.00</v>
      </c>
      <c r="M1337">
        <v>30</v>
      </c>
      <c r="N1337">
        <v>171</v>
      </c>
      <c r="O1337">
        <v>250</v>
      </c>
      <c r="P1337">
        <v>171</v>
      </c>
      <c r="Q1337">
        <v>250</v>
      </c>
      <c r="R1337" t="s">
        <v>0</v>
      </c>
      <c r="S1337" t="s">
        <v>0</v>
      </c>
      <c r="T1337" t="s">
        <v>0</v>
      </c>
    </row>
    <row r="1338" spans="1:20" x14ac:dyDescent="0.25">
      <c r="A1338">
        <v>21300312</v>
      </c>
      <c r="B1338" t="s">
        <v>10</v>
      </c>
      <c r="C1338" t="s">
        <v>9</v>
      </c>
      <c r="D1338">
        <v>37</v>
      </c>
      <c r="E1338">
        <v>38</v>
      </c>
      <c r="F1338">
        <v>1</v>
      </c>
      <c r="G1338">
        <v>2</v>
      </c>
      <c r="H1338" s="1">
        <v>5.9259259259259256E-3</v>
      </c>
      <c r="I1338">
        <v>2013</v>
      </c>
      <c r="J1338" t="s">
        <v>7</v>
      </c>
      <c r="K1338" s="2" t="str">
        <f>HYPERLINK("https://www.nba.com/stats/events?CFID=&amp;CFPARAMS=&amp;GameEventID=147&amp;GameID=0021300312&amp;Season=2013-14&amp;flag=1&amp;title=Green%2025'%203PT%20Jump%20Shot%20(5%20PTS)%20(Leonard%201%20AST)", "Green 25' 3PT Jump Shot (5 PTS) (Leonard 1 AST)")</f>
        <v>Green 25' 3PT Jump Shot (5 PTS) (Leonard 1 AST)</v>
      </c>
      <c r="L1338" s="2" t="str">
        <f>HYPERLINK("https://www.nba.com/game/...-vs-...-0021300312/play-by-play?watchFullGame=true", "SAS vs TOR - Q2 08:32.00")</f>
        <v>SAS vs TOR - Q2 08:32.00</v>
      </c>
      <c r="M1338">
        <v>25</v>
      </c>
      <c r="N1338">
        <v>-245</v>
      </c>
      <c r="O1338">
        <v>3</v>
      </c>
      <c r="P1338">
        <v>-245</v>
      </c>
      <c r="Q1338">
        <v>3</v>
      </c>
      <c r="R1338" t="s">
        <v>0</v>
      </c>
      <c r="S1338" t="s">
        <v>0</v>
      </c>
      <c r="T1338" t="s">
        <v>0</v>
      </c>
    </row>
    <row r="1339" spans="1:20" x14ac:dyDescent="0.25">
      <c r="A1339">
        <v>21300465</v>
      </c>
      <c r="B1339" t="s">
        <v>4</v>
      </c>
      <c r="C1339" t="s">
        <v>5</v>
      </c>
      <c r="D1339">
        <v>40</v>
      </c>
      <c r="E1339">
        <v>28</v>
      </c>
      <c r="F1339">
        <v>12</v>
      </c>
      <c r="G1339">
        <v>2</v>
      </c>
      <c r="H1339" s="1">
        <v>4.5370370370370373E-3</v>
      </c>
      <c r="I1339">
        <v>2013</v>
      </c>
      <c r="J1339" t="s">
        <v>7</v>
      </c>
      <c r="K1339" s="2" t="str">
        <f>HYPERLINK("https://www.nba.com/stats/events?CFID=&amp;CFPARAMS=&amp;GameEventID=194&amp;GameID=0021300465&amp;Season=2013-14&amp;flag=1&amp;title=Parker%20%20Layup%20(9%20PTS)%20(Leonard%201%20AST)", "Parker  Layup (9 PTS) (Leonard 1 AST)")</f>
        <v>Parker  Layup (9 PTS) (Leonard 1 AST)</v>
      </c>
      <c r="L1339" s="2" t="str">
        <f>HYPERLINK("https://www.nba.com/game/...-vs-...-0021300465/play-by-play?watchFullGame=true", "SAS vs BKN - Q2 06:32.00")</f>
        <v>SAS vs BKN - Q2 06:32.00</v>
      </c>
      <c r="M1339">
        <v>0</v>
      </c>
      <c r="N1339">
        <v>1</v>
      </c>
      <c r="O1339">
        <v>1</v>
      </c>
      <c r="P1339">
        <v>1</v>
      </c>
      <c r="Q1339">
        <v>1</v>
      </c>
      <c r="R1339" t="s">
        <v>0</v>
      </c>
      <c r="S1339" t="s">
        <v>0</v>
      </c>
      <c r="T1339" t="s">
        <v>0</v>
      </c>
    </row>
    <row r="1340" spans="1:20" x14ac:dyDescent="0.25">
      <c r="A1340">
        <v>21300477</v>
      </c>
      <c r="B1340" t="s">
        <v>4</v>
      </c>
      <c r="C1340" t="s">
        <v>5</v>
      </c>
      <c r="D1340">
        <v>20</v>
      </c>
      <c r="E1340">
        <v>19</v>
      </c>
      <c r="F1340">
        <v>1</v>
      </c>
      <c r="G1340">
        <v>1</v>
      </c>
      <c r="H1340" s="1">
        <v>2.1180555555555558E-3</v>
      </c>
      <c r="I1340">
        <v>2013</v>
      </c>
      <c r="J1340" t="s">
        <v>7</v>
      </c>
      <c r="K1340" s="2" t="str">
        <f>HYPERLINK("https://www.nba.com/stats/events?CFID=&amp;CFPARAMS=&amp;GameEventID=75&amp;GameID=0021300477&amp;Season=2013-14&amp;flag=1&amp;title=Parker%202'%20Layup%20(2%20PTS)%20(Leonard%202%20AST)", "Parker 2' Layup (2 PTS) (Leonard 2 AST)")</f>
        <v>Parker 2' Layup (2 PTS) (Leonard 2 AST)</v>
      </c>
      <c r="L1340" s="2" t="str">
        <f>HYPERLINK("https://www.nba.com/game/...-vs-...-0021300477/play-by-play?watchFullGame=true", "SAS vs NYK - Q1 03:03.00")</f>
        <v>SAS vs NYK - Q1 03:03.00</v>
      </c>
      <c r="M1340">
        <v>2</v>
      </c>
      <c r="N1340">
        <v>-23</v>
      </c>
      <c r="O1340">
        <v>-2</v>
      </c>
      <c r="P1340">
        <v>-23</v>
      </c>
      <c r="Q1340">
        <v>-2</v>
      </c>
      <c r="R1340" t="s">
        <v>0</v>
      </c>
      <c r="S1340" t="s">
        <v>0</v>
      </c>
      <c r="T1340" t="s">
        <v>0</v>
      </c>
    </row>
    <row r="1341" spans="1:20" x14ac:dyDescent="0.25">
      <c r="A1341">
        <v>21300880</v>
      </c>
      <c r="B1341" t="s">
        <v>10</v>
      </c>
      <c r="C1341" t="s">
        <v>9</v>
      </c>
      <c r="D1341">
        <v>35</v>
      </c>
      <c r="E1341">
        <v>24</v>
      </c>
      <c r="F1341">
        <v>11</v>
      </c>
      <c r="G1341">
        <v>2</v>
      </c>
      <c r="H1341" s="1">
        <v>7.4999999999999997E-3</v>
      </c>
      <c r="I1341">
        <v>2013</v>
      </c>
      <c r="J1341" t="s">
        <v>12</v>
      </c>
      <c r="K1341" s="2" t="str">
        <f>HYPERLINK("https://www.nba.com/stats/events?CFID=&amp;CFPARAMS=&amp;GameEventID=145&amp;GameID=0021300880&amp;Season=2013-14&amp;flag=1&amp;title=Wright%20%203PT%20Jump%20Shot%20(3%20PTS)%20(Leonard%201%20AST)", "Wright  3PT Jump Shot (3 PTS) (Leonard 1 AST)")</f>
        <v>Wright  3PT Jump Shot (3 PTS) (Leonard 1 AST)</v>
      </c>
      <c r="L1341" s="2" t="str">
        <f>HYPERLINK("https://www.nba.com/game/...-vs-...-0021300880/play-by-play?watchFullGame=true", "POR vs DEN - Q2 10:48.00")</f>
        <v>POR vs DEN - Q2 10:48.00</v>
      </c>
      <c r="M1341">
        <v>0</v>
      </c>
      <c r="N1341">
        <v>-226</v>
      </c>
      <c r="O1341">
        <v>-3</v>
      </c>
      <c r="P1341">
        <v>-226</v>
      </c>
      <c r="Q1341">
        <v>-3</v>
      </c>
      <c r="R1341" t="s">
        <v>0</v>
      </c>
      <c r="S1341" t="s">
        <v>0</v>
      </c>
      <c r="T1341" t="s">
        <v>0</v>
      </c>
    </row>
    <row r="1342" spans="1:20" x14ac:dyDescent="0.25">
      <c r="A1342">
        <v>21300932</v>
      </c>
      <c r="B1342" t="s">
        <v>4</v>
      </c>
      <c r="C1342" t="s">
        <v>5</v>
      </c>
      <c r="D1342">
        <v>36</v>
      </c>
      <c r="E1342">
        <v>37</v>
      </c>
      <c r="F1342">
        <v>1</v>
      </c>
      <c r="G1342">
        <v>2</v>
      </c>
      <c r="H1342" s="1">
        <v>6.6203703703703702E-3</v>
      </c>
      <c r="I1342">
        <v>2013</v>
      </c>
      <c r="J1342" t="s">
        <v>7</v>
      </c>
      <c r="K1342" s="2" t="str">
        <f>HYPERLINK("https://www.nba.com/stats/events?CFID=&amp;CFPARAMS=&amp;GameEventID=136&amp;GameID=0021300932&amp;Season=2013-14&amp;flag=1&amp;title=Diaw%203'%20Layup%20(2%20PTS)%20(Leonard%202%20AST)", "Diaw 3' Layup (2 PTS) (Leonard 2 AST)")</f>
        <v>Diaw 3' Layup (2 PTS) (Leonard 2 AST)</v>
      </c>
      <c r="L1342" s="2" t="str">
        <f>HYPERLINK("https://www.nba.com/game/...-vs-...-0021300932/play-by-play?watchFullGame=true", "SAS vs ORL - Q2 09:32.00")</f>
        <v>SAS vs ORL - Q2 09:32.00</v>
      </c>
      <c r="M1342">
        <v>3</v>
      </c>
      <c r="N1342">
        <v>29</v>
      </c>
      <c r="O1342">
        <v>-3</v>
      </c>
      <c r="P1342">
        <v>29</v>
      </c>
      <c r="Q1342">
        <v>-3</v>
      </c>
      <c r="R1342" t="s">
        <v>0</v>
      </c>
      <c r="S1342" t="s">
        <v>0</v>
      </c>
      <c r="T1342" t="s">
        <v>0</v>
      </c>
    </row>
    <row r="1343" spans="1:20" x14ac:dyDescent="0.25">
      <c r="A1343">
        <v>21300978</v>
      </c>
      <c r="B1343" t="s">
        <v>4</v>
      </c>
      <c r="C1343" t="s">
        <v>9</v>
      </c>
      <c r="D1343">
        <v>17</v>
      </c>
      <c r="E1343">
        <v>10</v>
      </c>
      <c r="F1343">
        <v>7</v>
      </c>
      <c r="G1343">
        <v>1</v>
      </c>
      <c r="H1343" s="1">
        <v>3.5185185185185185E-3</v>
      </c>
      <c r="I1343">
        <v>2013</v>
      </c>
      <c r="J1343" t="s">
        <v>7</v>
      </c>
      <c r="K1343" s="2" t="str">
        <f>HYPERLINK("https://www.nba.com/stats/events?CFID=&amp;CFPARAMS=&amp;GameEventID=73&amp;GameID=0021300978&amp;Season=2013-14&amp;flag=1&amp;title=Parker%2021'%20Jump%20Shot%20(4%20PTS)%20(Leonard%201%20AST)", "Parker 21' Jump Shot (4 PTS) (Leonard 1 AST)")</f>
        <v>Parker 21' Jump Shot (4 PTS) (Leonard 1 AST)</v>
      </c>
      <c r="L1343" s="2" t="str">
        <f>HYPERLINK("https://www.nba.com/game/...-vs-...-0021300978/play-by-play?watchFullGame=true", "SAS vs LAL - Q1 05:04.00")</f>
        <v>SAS vs LAL - Q1 05:04.00</v>
      </c>
      <c r="M1343">
        <v>21</v>
      </c>
      <c r="N1343">
        <v>122</v>
      </c>
      <c r="O1343">
        <v>172</v>
      </c>
      <c r="P1343">
        <v>122</v>
      </c>
      <c r="Q1343">
        <v>172</v>
      </c>
      <c r="R1343" t="s">
        <v>0</v>
      </c>
      <c r="S1343" t="s">
        <v>0</v>
      </c>
      <c r="T1343" t="s">
        <v>0</v>
      </c>
    </row>
    <row r="1344" spans="1:20" x14ac:dyDescent="0.25">
      <c r="A1344">
        <v>21300170</v>
      </c>
      <c r="B1344" t="s">
        <v>4</v>
      </c>
      <c r="C1344" t="s">
        <v>9</v>
      </c>
      <c r="D1344">
        <v>10</v>
      </c>
      <c r="E1344">
        <v>10</v>
      </c>
      <c r="F1344">
        <v>0</v>
      </c>
      <c r="G1344">
        <v>1</v>
      </c>
      <c r="H1344" s="1">
        <v>5.3009259259259259E-3</v>
      </c>
      <c r="I1344">
        <v>2013</v>
      </c>
      <c r="J1344" t="s">
        <v>7</v>
      </c>
      <c r="K1344" s="2" t="str">
        <f>HYPERLINK("https://www.nba.com/stats/events?CFID=&amp;CFPARAMS=&amp;GameEventID=41&amp;GameID=0021300170&amp;Season=2013-14&amp;flag=1&amp;title=Splitter%203'%20Jump%20Shot%20(2%20PTS)%20(Leonard%201%20AST)", "Splitter 3' Jump Shot (2 PTS) (Leonard 1 AST)")</f>
        <v>Splitter 3' Jump Shot (2 PTS) (Leonard 1 AST)</v>
      </c>
      <c r="L1344" s="2" t="str">
        <f>HYPERLINK("https://www.nba.com/game/...-vs-...-0021300170/play-by-play?watchFullGame=true", "SAS vs BOS - Q1 07:38.00")</f>
        <v>SAS vs BOS - Q1 07:38.00</v>
      </c>
      <c r="M1344">
        <v>3</v>
      </c>
      <c r="N1344">
        <v>0</v>
      </c>
      <c r="O1344">
        <v>34</v>
      </c>
      <c r="P1344">
        <v>0</v>
      </c>
      <c r="Q1344">
        <v>34</v>
      </c>
      <c r="R1344" t="s">
        <v>0</v>
      </c>
      <c r="S1344" t="s">
        <v>0</v>
      </c>
      <c r="T1344" t="s">
        <v>0</v>
      </c>
    </row>
    <row r="1345" spans="1:20" x14ac:dyDescent="0.25">
      <c r="A1345">
        <v>21300425</v>
      </c>
      <c r="B1345" t="s">
        <v>4</v>
      </c>
      <c r="C1345" t="s">
        <v>23</v>
      </c>
      <c r="D1345">
        <v>4</v>
      </c>
      <c r="E1345">
        <v>4</v>
      </c>
      <c r="F1345">
        <v>0</v>
      </c>
      <c r="G1345">
        <v>1</v>
      </c>
      <c r="H1345" s="1">
        <v>6.7476851851851856E-3</v>
      </c>
      <c r="I1345">
        <v>2013</v>
      </c>
      <c r="J1345" t="s">
        <v>7</v>
      </c>
      <c r="K1345" s="2" t="str">
        <f>HYPERLINK("https://www.nba.com/stats/events?CFID=&amp;CFPARAMS=&amp;GameEventID=17&amp;GameID=0021300425&amp;Season=2013-14&amp;flag=1&amp;title=Duncan%20%20Driving%20Layup%20(4%20PTS)%20(Leonard%201%20AST)", "Duncan  Driving Layup (4 PTS) (Leonard 1 AST)")</f>
        <v>Duncan  Driving Layup (4 PTS) (Leonard 1 AST)</v>
      </c>
      <c r="L1345" s="2" t="str">
        <f>HYPERLINK("https://www.nba.com/game/...-vs-...-0021300425/play-by-play?watchFullGame=true", "SAS vs DAL - Q1 09:43.00")</f>
        <v>SAS vs DAL - Q1 09:43.00</v>
      </c>
      <c r="M1345">
        <v>0</v>
      </c>
      <c r="N1345">
        <v>2</v>
      </c>
      <c r="O1345">
        <v>3</v>
      </c>
      <c r="P1345">
        <v>2</v>
      </c>
      <c r="Q1345">
        <v>3</v>
      </c>
      <c r="R1345" t="s">
        <v>0</v>
      </c>
      <c r="S1345" t="s">
        <v>0</v>
      </c>
      <c r="T1345" t="s">
        <v>0</v>
      </c>
    </row>
    <row r="1346" spans="1:20" x14ac:dyDescent="0.25">
      <c r="A1346">
        <v>21300514</v>
      </c>
      <c r="B1346" t="s">
        <v>4</v>
      </c>
      <c r="C1346" t="s">
        <v>5</v>
      </c>
      <c r="D1346">
        <v>104</v>
      </c>
      <c r="E1346">
        <v>103</v>
      </c>
      <c r="F1346">
        <v>1</v>
      </c>
      <c r="G1346">
        <v>5</v>
      </c>
      <c r="H1346" s="1">
        <v>1.1574074074074073E-3</v>
      </c>
      <c r="I1346">
        <v>2013</v>
      </c>
      <c r="J1346" t="s">
        <v>7</v>
      </c>
      <c r="K1346" s="2" t="str">
        <f>HYPERLINK("https://www.nba.com/stats/events?CFID=&amp;CFPARAMS=&amp;GameEventID=520&amp;GameID=0021300514&amp;Season=2013-14&amp;flag=1&amp;title=Diaw%202'%20Layup%20(9%20PTS)%20(Leonard%201%20AST)", "Diaw 2' Layup (9 PTS) (Leonard 1 AST)")</f>
        <v>Diaw 2' Layup (9 PTS) (Leonard 1 AST)</v>
      </c>
      <c r="L1346" s="2" t="str">
        <f>HYPERLINK("https://www.nba.com/game/...-vs-...-0021300514/play-by-play?watchFullGame=true", "SAS vs MEM - Q5 01:40.00")</f>
        <v>SAS vs MEM - Q5 01:40.00</v>
      </c>
      <c r="M1346">
        <v>2</v>
      </c>
      <c r="N1346">
        <v>-16</v>
      </c>
      <c r="O1346">
        <v>-2</v>
      </c>
      <c r="P1346">
        <v>-16</v>
      </c>
      <c r="Q1346">
        <v>-2</v>
      </c>
      <c r="R1346" t="s">
        <v>0</v>
      </c>
      <c r="S1346" t="s">
        <v>0</v>
      </c>
      <c r="T1346" t="s">
        <v>0</v>
      </c>
    </row>
    <row r="1347" spans="1:20" x14ac:dyDescent="0.25">
      <c r="A1347">
        <v>21300559</v>
      </c>
      <c r="B1347" t="s">
        <v>10</v>
      </c>
      <c r="C1347" t="s">
        <v>9</v>
      </c>
      <c r="D1347">
        <v>94</v>
      </c>
      <c r="E1347">
        <v>90</v>
      </c>
      <c r="F1347">
        <v>4</v>
      </c>
      <c r="G1347">
        <v>4</v>
      </c>
      <c r="H1347" s="1">
        <v>2.2916666666666667E-3</v>
      </c>
      <c r="I1347">
        <v>2013</v>
      </c>
      <c r="J1347" t="s">
        <v>7</v>
      </c>
      <c r="K1347" s="2" t="str">
        <f>HYPERLINK("https://www.nba.com/stats/events?CFID=&amp;CFPARAMS=&amp;GameEventID=484&amp;GameID=0021300559&amp;Season=2013-14&amp;flag=1&amp;title=Belinelli%2025'%203PT%20Jump%20Shot%20(12%20PTS)%20(Leonard%203%20AST)", "Belinelli 25' 3PT Jump Shot (12 PTS) (Leonard 3 AST)")</f>
        <v>Belinelli 25' 3PT Jump Shot (12 PTS) (Leonard 3 AST)</v>
      </c>
      <c r="L1347" s="2" t="str">
        <f>HYPERLINK("https://www.nba.com/game/...-vs-...-0021300559/play-by-play?watchFullGame=true", "SAS vs NOP - Q4 03:18.00")</f>
        <v>SAS vs NOP - Q4 03:18.00</v>
      </c>
      <c r="M1347">
        <v>25</v>
      </c>
      <c r="N1347">
        <v>-78</v>
      </c>
      <c r="O1347">
        <v>242</v>
      </c>
      <c r="P1347">
        <v>-78</v>
      </c>
      <c r="Q1347">
        <v>242</v>
      </c>
      <c r="R1347" t="s">
        <v>0</v>
      </c>
      <c r="S1347" t="s">
        <v>0</v>
      </c>
      <c r="T1347" t="s">
        <v>0</v>
      </c>
    </row>
    <row r="1348" spans="1:20" x14ac:dyDescent="0.25">
      <c r="A1348">
        <v>21300913</v>
      </c>
      <c r="B1348" t="s">
        <v>4</v>
      </c>
      <c r="C1348" t="s">
        <v>23</v>
      </c>
      <c r="D1348">
        <v>100</v>
      </c>
      <c r="E1348">
        <v>78</v>
      </c>
      <c r="F1348">
        <v>22</v>
      </c>
      <c r="G1348">
        <v>4</v>
      </c>
      <c r="H1348" s="1">
        <v>6.5856481481481484E-4</v>
      </c>
      <c r="I1348">
        <v>2013</v>
      </c>
      <c r="J1348" t="s">
        <v>12</v>
      </c>
      <c r="K1348" s="2" t="str">
        <f>HYPERLINK("https://www.nba.com/stats/events?CFID=&amp;CFPARAMS=&amp;GameEventID=496&amp;GameID=0021300913&amp;Season=2013-14&amp;flag=1&amp;title=McCollum%203'%20Driving%20Layup%20(9%20PTS)%20(Leonard%204%20AST)", "McCollum 3' Driving Layup (9 PTS) (Leonard 4 AST)")</f>
        <v>McCollum 3' Driving Layup (9 PTS) (Leonard 4 AST)</v>
      </c>
      <c r="L1348" s="2" t="str">
        <f>HYPERLINK("https://www.nba.com/game/...-vs-...-0021300913/play-by-play?watchFullGame=true", "POR vs ATL - Q4 00:56.90")</f>
        <v>POR vs ATL - Q4 00:56.90</v>
      </c>
      <c r="M1348">
        <v>3</v>
      </c>
      <c r="N1348">
        <v>29</v>
      </c>
      <c r="O1348">
        <v>9</v>
      </c>
      <c r="P1348">
        <v>29</v>
      </c>
      <c r="Q1348">
        <v>9</v>
      </c>
      <c r="R1348" t="s">
        <v>0</v>
      </c>
      <c r="S1348" t="s">
        <v>0</v>
      </c>
      <c r="T1348" t="s">
        <v>0</v>
      </c>
    </row>
    <row r="1349" spans="1:20" x14ac:dyDescent="0.25">
      <c r="A1349">
        <v>21301221</v>
      </c>
      <c r="B1349" t="s">
        <v>10</v>
      </c>
      <c r="C1349" t="s">
        <v>9</v>
      </c>
      <c r="D1349">
        <v>64</v>
      </c>
      <c r="E1349">
        <v>69</v>
      </c>
      <c r="F1349">
        <v>5</v>
      </c>
      <c r="G1349">
        <v>3</v>
      </c>
      <c r="H1349" s="1">
        <v>3.5185185185185185E-3</v>
      </c>
      <c r="I1349">
        <v>2013</v>
      </c>
      <c r="J1349" t="s">
        <v>7</v>
      </c>
      <c r="K1349" s="2" t="str">
        <f>HYPERLINK("https://www.nba.com/stats/events?CFID=&amp;CFPARAMS=&amp;GameEventID=303&amp;GameID=0021301221&amp;Season=2013-14&amp;flag=1&amp;title=Bonner%2025'%203PT%20Jump%20Shot%20(6%20PTS)%20(Leonard%204%20AST)", "Bonner 25' 3PT Jump Shot (6 PTS) (Leonard 4 AST)")</f>
        <v>Bonner 25' 3PT Jump Shot (6 PTS) (Leonard 4 AST)</v>
      </c>
      <c r="L1349" s="2" t="str">
        <f>HYPERLINK("https://www.nba.com/game/...-vs-...-0021301221/play-by-play?watchFullGame=true", "SAS vs LAL - Q3 05:04.00")</f>
        <v>SAS vs LAL - Q3 05:04.00</v>
      </c>
      <c r="M1349">
        <v>25</v>
      </c>
      <c r="N1349">
        <v>151</v>
      </c>
      <c r="O1349">
        <v>198</v>
      </c>
      <c r="P1349">
        <v>151</v>
      </c>
      <c r="Q1349">
        <v>198</v>
      </c>
      <c r="R1349" t="s">
        <v>0</v>
      </c>
      <c r="S1349" t="s">
        <v>0</v>
      </c>
      <c r="T1349" t="s">
        <v>0</v>
      </c>
    </row>
    <row r="1350" spans="1:20" x14ac:dyDescent="0.25">
      <c r="A1350">
        <v>21400069</v>
      </c>
      <c r="B1350" t="s">
        <v>4</v>
      </c>
      <c r="C1350" t="s">
        <v>5</v>
      </c>
      <c r="D1350">
        <v>4</v>
      </c>
      <c r="E1350">
        <v>9</v>
      </c>
      <c r="F1350">
        <v>5</v>
      </c>
      <c r="G1350">
        <v>1</v>
      </c>
      <c r="H1350" s="1">
        <v>3.6921296296296298E-3</v>
      </c>
      <c r="I1350">
        <v>2014</v>
      </c>
      <c r="J1350" t="s">
        <v>7</v>
      </c>
      <c r="K1350" s="2" t="str">
        <f>HYPERLINK("https://www.nba.com/stats/events?CFID=&amp;CFPARAMS=&amp;GameEventID=72&amp;GameID=0021400069&amp;Season=2014-15&amp;flag=1&amp;title=Bonner%201'%20Layup%20(2%20PTS)%20(Leonard%201%20AST)", "Bonner 1' Layup (2 PTS) (Leonard 1 AST)")</f>
        <v>Bonner 1' Layup (2 PTS) (Leonard 1 AST)</v>
      </c>
      <c r="L1350" s="2" t="str">
        <f>HYPERLINK("https://www.nba.com/game/...-vs-...-0021400069/play-by-play?watchFullGame=true", "SAS vs HOU - Q1 05:19.00")</f>
        <v>SAS vs HOU - Q1 05:19.00</v>
      </c>
      <c r="M1350">
        <v>1</v>
      </c>
      <c r="N1350">
        <v>-5</v>
      </c>
      <c r="O1350">
        <v>-8</v>
      </c>
      <c r="P1350">
        <v>-5</v>
      </c>
      <c r="Q1350">
        <v>-8</v>
      </c>
      <c r="R1350" t="s">
        <v>0</v>
      </c>
      <c r="S1350" t="s">
        <v>0</v>
      </c>
      <c r="T1350" t="s">
        <v>0</v>
      </c>
    </row>
    <row r="1351" spans="1:20" x14ac:dyDescent="0.25">
      <c r="A1351">
        <v>21400089</v>
      </c>
      <c r="B1351" t="s">
        <v>10</v>
      </c>
      <c r="C1351" t="s">
        <v>9</v>
      </c>
      <c r="D1351">
        <v>26</v>
      </c>
      <c r="E1351">
        <v>30</v>
      </c>
      <c r="F1351">
        <v>4</v>
      </c>
      <c r="G1351">
        <v>2</v>
      </c>
      <c r="H1351" s="1">
        <v>7.9745370370370369E-3</v>
      </c>
      <c r="I1351">
        <v>2014</v>
      </c>
      <c r="J1351" t="s">
        <v>7</v>
      </c>
      <c r="K1351" s="2" t="str">
        <f>HYPERLINK("https://www.nba.com/stats/events?CFID=&amp;CFPARAMS=&amp;GameEventID=119&amp;GameID=0021400089&amp;Season=2014-15&amp;flag=1&amp;title=Ginobili%2025'%203PT%20Jump%20Shot%20(3%20PTS)%20(Leonard%201%20AST)", "Ginobili 25' 3PT Jump Shot (3 PTS) (Leonard 1 AST)")</f>
        <v>Ginobili 25' 3PT Jump Shot (3 PTS) (Leonard 1 AST)</v>
      </c>
      <c r="L1351" s="2" t="str">
        <f>HYPERLINK("https://www.nba.com/game/...-vs-...-0021400089/play-by-play?watchFullGame=true", "SAS vs NOP - Q2 11:29.00")</f>
        <v>SAS vs NOP - Q2 11:29.00</v>
      </c>
      <c r="M1351">
        <v>25</v>
      </c>
      <c r="N1351">
        <v>95</v>
      </c>
      <c r="O1351">
        <v>235</v>
      </c>
      <c r="P1351">
        <v>95</v>
      </c>
      <c r="Q1351">
        <v>235</v>
      </c>
      <c r="R1351" t="s">
        <v>0</v>
      </c>
      <c r="S1351" t="s">
        <v>0</v>
      </c>
      <c r="T1351" t="s">
        <v>0</v>
      </c>
    </row>
    <row r="1352" spans="1:20" x14ac:dyDescent="0.25">
      <c r="A1352">
        <v>21300338</v>
      </c>
      <c r="B1352" t="s">
        <v>4</v>
      </c>
      <c r="C1352" t="s">
        <v>41</v>
      </c>
      <c r="D1352">
        <v>38</v>
      </c>
      <c r="E1352">
        <v>36</v>
      </c>
      <c r="F1352">
        <v>2</v>
      </c>
      <c r="G1352">
        <v>2</v>
      </c>
      <c r="H1352" s="1">
        <v>4.6064814814814814E-3</v>
      </c>
      <c r="I1352">
        <v>2013</v>
      </c>
      <c r="J1352" t="s">
        <v>7</v>
      </c>
      <c r="K1352" s="2" t="str">
        <f>HYPERLINK("https://www.nba.com/stats/events?CFID=&amp;CFPARAMS=&amp;GameEventID=177&amp;GameID=0021300338&amp;Season=2013-14&amp;flag=1&amp;title=Diaw%203'%20Turnaround%20Jump%20Shot%20(8%20PTS)%20(Leonard%202%20AST)", "Diaw 3' Turnaround Jump Shot (8 PTS) (Leonard 2 AST)")</f>
        <v>Diaw 3' Turnaround Jump Shot (8 PTS) (Leonard 2 AST)</v>
      </c>
      <c r="L1352" s="2" t="str">
        <f>HYPERLINK("https://www.nba.com/game/...-vs-...-0021300338/play-by-play?watchFullGame=true", "SAS vs MIN - Q2 06:38.00")</f>
        <v>SAS vs MIN - Q2 06:38.00</v>
      </c>
      <c r="M1352">
        <v>3</v>
      </c>
      <c r="N1352">
        <v>1</v>
      </c>
      <c r="O1352">
        <v>33</v>
      </c>
      <c r="P1352">
        <v>1</v>
      </c>
      <c r="Q1352">
        <v>33</v>
      </c>
      <c r="R1352" t="s">
        <v>0</v>
      </c>
      <c r="S1352" t="s">
        <v>0</v>
      </c>
      <c r="T1352" t="s">
        <v>0</v>
      </c>
    </row>
    <row r="1353" spans="1:20" x14ac:dyDescent="0.25">
      <c r="A1353">
        <v>21300573</v>
      </c>
      <c r="B1353" t="s">
        <v>10</v>
      </c>
      <c r="C1353" t="s">
        <v>9</v>
      </c>
      <c r="D1353">
        <v>98</v>
      </c>
      <c r="E1353">
        <v>82</v>
      </c>
      <c r="F1353">
        <v>16</v>
      </c>
      <c r="G1353">
        <v>4</v>
      </c>
      <c r="H1353" s="1">
        <v>3.9583333333333337E-3</v>
      </c>
      <c r="I1353">
        <v>2013</v>
      </c>
      <c r="J1353" t="s">
        <v>7</v>
      </c>
      <c r="K1353" s="2" t="str">
        <f>HYPERLINK("https://www.nba.com/stats/events?CFID=&amp;CFPARAMS=&amp;GameEventID=400&amp;GameID=0021300573&amp;Season=2013-14&amp;flag=1&amp;title=Belinelli%2026'%203PT%20Jump%20Shot%20(11%20PTS)%20(Leonard%206%20AST)", "Belinelli 26' 3PT Jump Shot (11 PTS) (Leonard 6 AST)")</f>
        <v>Belinelli 26' 3PT Jump Shot (11 PTS) (Leonard 6 AST)</v>
      </c>
      <c r="L1353" s="2" t="str">
        <f>HYPERLINK("https://www.nba.com/game/...-vs-...-0021300573/play-by-play?watchFullGame=true", "SAS vs UTA - Q4 05:42.00")</f>
        <v>SAS vs UTA - Q4 05:42.00</v>
      </c>
      <c r="M1353">
        <v>26</v>
      </c>
      <c r="N1353">
        <v>121</v>
      </c>
      <c r="O1353">
        <v>230</v>
      </c>
      <c r="P1353">
        <v>121</v>
      </c>
      <c r="Q1353">
        <v>230</v>
      </c>
      <c r="R1353" t="s">
        <v>0</v>
      </c>
      <c r="S1353" t="s">
        <v>0</v>
      </c>
      <c r="T1353" t="s">
        <v>0</v>
      </c>
    </row>
    <row r="1354" spans="1:20" x14ac:dyDescent="0.25">
      <c r="A1354">
        <v>21301017</v>
      </c>
      <c r="B1354" t="s">
        <v>4</v>
      </c>
      <c r="C1354" t="s">
        <v>9</v>
      </c>
      <c r="D1354">
        <v>99</v>
      </c>
      <c r="E1354">
        <v>92</v>
      </c>
      <c r="F1354">
        <v>7</v>
      </c>
      <c r="G1354">
        <v>4</v>
      </c>
      <c r="H1354" s="1">
        <v>5.7291666666666663E-3</v>
      </c>
      <c r="I1354">
        <v>2013</v>
      </c>
      <c r="J1354" t="s">
        <v>7</v>
      </c>
      <c r="K1354" s="2" t="str">
        <f>HYPERLINK("https://www.nba.com/stats/events?CFID=&amp;CFPARAMS=&amp;GameEventID=434&amp;GameID=0021301017&amp;Season=2013-14&amp;flag=1&amp;title=Green%203'%20Jump%20Shot%20(16%20PTS)%20(Leonard%203%20AST)", "Green 3' Jump Shot (16 PTS) (Leonard 3 AST)")</f>
        <v>Green 3' Jump Shot (16 PTS) (Leonard 3 AST)</v>
      </c>
      <c r="L1354" s="2" t="str">
        <f>HYPERLINK("https://www.nba.com/game/...-vs-...-0021301017/play-by-play?watchFullGame=true", "SAS vs LAL - Q4 08:15.00")</f>
        <v>SAS vs LAL - Q4 08:15.00</v>
      </c>
      <c r="M1354">
        <v>3</v>
      </c>
      <c r="N1354">
        <v>-2</v>
      </c>
      <c r="O1354">
        <v>26</v>
      </c>
      <c r="P1354">
        <v>-2</v>
      </c>
      <c r="Q1354">
        <v>26</v>
      </c>
      <c r="R1354" t="s">
        <v>0</v>
      </c>
      <c r="S1354" t="s">
        <v>0</v>
      </c>
      <c r="T1354" t="s">
        <v>0</v>
      </c>
    </row>
    <row r="1355" spans="1:20" x14ac:dyDescent="0.25">
      <c r="A1355">
        <v>21301084</v>
      </c>
      <c r="B1355" t="s">
        <v>4</v>
      </c>
      <c r="C1355" t="s">
        <v>9</v>
      </c>
      <c r="D1355">
        <v>51</v>
      </c>
      <c r="E1355">
        <v>36</v>
      </c>
      <c r="F1355">
        <v>15</v>
      </c>
      <c r="G1355">
        <v>2</v>
      </c>
      <c r="H1355" s="1">
        <v>3.2870370370370371E-3</v>
      </c>
      <c r="I1355">
        <v>2013</v>
      </c>
      <c r="J1355" t="s">
        <v>7</v>
      </c>
      <c r="K1355" s="2" t="str">
        <f>HYPERLINK("https://www.nba.com/stats/events?CFID=&amp;CFPARAMS=&amp;GameEventID=202&amp;GameID=0021301084&amp;Season=2013-14&amp;flag=1&amp;title=Parker%2011'%20Jump%20Shot%20(4%20PTS)%20(Leonard%204%20AST)", "Parker 11' Jump Shot (4 PTS) (Leonard 4 AST)")</f>
        <v>Parker 11' Jump Shot (4 PTS) (Leonard 4 AST)</v>
      </c>
      <c r="L1355" s="2" t="str">
        <f>HYPERLINK("https://www.nba.com/game/...-vs-...-0021301084/play-by-play?watchFullGame=true", "SAS vs DEN - Q2 04:44.00")</f>
        <v>SAS vs DEN - Q2 04:44.00</v>
      </c>
      <c r="M1355">
        <v>11</v>
      </c>
      <c r="N1355">
        <v>40</v>
      </c>
      <c r="O1355">
        <v>101</v>
      </c>
      <c r="P1355">
        <v>40</v>
      </c>
      <c r="Q1355">
        <v>101</v>
      </c>
      <c r="R1355" t="s">
        <v>0</v>
      </c>
      <c r="S1355" t="s">
        <v>0</v>
      </c>
      <c r="T1355" t="s">
        <v>0</v>
      </c>
    </row>
    <row r="1356" spans="1:20" x14ac:dyDescent="0.25">
      <c r="A1356">
        <v>21301084</v>
      </c>
      <c r="B1356" t="s">
        <v>10</v>
      </c>
      <c r="C1356" t="s">
        <v>9</v>
      </c>
      <c r="D1356">
        <v>49</v>
      </c>
      <c r="E1356">
        <v>34</v>
      </c>
      <c r="F1356">
        <v>15</v>
      </c>
      <c r="G1356">
        <v>2</v>
      </c>
      <c r="H1356" s="1">
        <v>3.8425925925925928E-3</v>
      </c>
      <c r="I1356">
        <v>2013</v>
      </c>
      <c r="J1356" t="s">
        <v>7</v>
      </c>
      <c r="K1356" s="2" t="str">
        <f>HYPERLINK("https://www.nba.com/stats/events?CFID=&amp;CFPARAMS=&amp;GameEventID=196&amp;GameID=0021301084&amp;Season=2013-14&amp;flag=1&amp;title=Belinelli%20%203PT%20Jump%20Shot%20(20%20PTS)%20(Leonard%203%20AST)", "Belinelli  3PT Jump Shot (20 PTS) (Leonard 3 AST)")</f>
        <v>Belinelli  3PT Jump Shot (20 PTS) (Leonard 3 AST)</v>
      </c>
      <c r="L1356" s="2" t="str">
        <f>HYPERLINK("https://www.nba.com/game/...-vs-...-0021301084/play-by-play?watchFullGame=true", "SAS vs DEN - Q2 05:32.00")</f>
        <v>SAS vs DEN - Q2 05:32.00</v>
      </c>
      <c r="M1356">
        <v>0</v>
      </c>
      <c r="N1356">
        <v>-228</v>
      </c>
      <c r="O1356">
        <v>0</v>
      </c>
      <c r="P1356">
        <v>-228</v>
      </c>
      <c r="Q1356">
        <v>0</v>
      </c>
      <c r="R1356" t="s">
        <v>0</v>
      </c>
      <c r="S1356" t="s">
        <v>0</v>
      </c>
      <c r="T1356" t="s">
        <v>0</v>
      </c>
    </row>
    <row r="1357" spans="1:20" x14ac:dyDescent="0.25">
      <c r="A1357">
        <v>21301127</v>
      </c>
      <c r="B1357" t="s">
        <v>4</v>
      </c>
      <c r="C1357" t="s">
        <v>9</v>
      </c>
      <c r="D1357">
        <v>12</v>
      </c>
      <c r="E1357">
        <v>6</v>
      </c>
      <c r="F1357">
        <v>6</v>
      </c>
      <c r="G1357">
        <v>1</v>
      </c>
      <c r="H1357" s="1">
        <v>4.9305555555555552E-3</v>
      </c>
      <c r="I1357">
        <v>2013</v>
      </c>
      <c r="J1357" t="s">
        <v>7</v>
      </c>
      <c r="K1357" s="2" t="str">
        <f>HYPERLINK("https://www.nba.com/stats/events?CFID=&amp;CFPARAMS=&amp;GameEventID=51&amp;GameID=0021301127&amp;Season=2013-14&amp;flag=1&amp;title=Green%2021'%20Jump%20Shot%20(6%20PTS)%20(Leonard%202%20AST)", "Green 21' Jump Shot (6 PTS) (Leonard 2 AST)")</f>
        <v>Green 21' Jump Shot (6 PTS) (Leonard 2 AST)</v>
      </c>
      <c r="L1357" s="2" t="str">
        <f>HYPERLINK("https://www.nba.com/game/...-vs-...-0021301127/play-by-play?watchFullGame=true", "SAS vs OKC - Q1 07:06.00")</f>
        <v>SAS vs OKC - Q1 07:06.00</v>
      </c>
      <c r="M1357">
        <v>21</v>
      </c>
      <c r="N1357">
        <v>144</v>
      </c>
      <c r="O1357">
        <v>149</v>
      </c>
      <c r="P1357">
        <v>144</v>
      </c>
      <c r="Q1357">
        <v>149</v>
      </c>
      <c r="R1357" t="s">
        <v>0</v>
      </c>
      <c r="S1357" t="s">
        <v>0</v>
      </c>
      <c r="T1357" t="s">
        <v>0</v>
      </c>
    </row>
    <row r="1358" spans="1:20" x14ac:dyDescent="0.25">
      <c r="A1358">
        <v>21400314</v>
      </c>
      <c r="B1358" t="s">
        <v>10</v>
      </c>
      <c r="C1358" t="s">
        <v>9</v>
      </c>
      <c r="D1358">
        <v>36</v>
      </c>
      <c r="E1358">
        <v>38</v>
      </c>
      <c r="F1358">
        <v>2</v>
      </c>
      <c r="G1358">
        <v>2</v>
      </c>
      <c r="H1358" s="1">
        <v>3.2638888888888891E-3</v>
      </c>
      <c r="I1358">
        <v>2014</v>
      </c>
      <c r="J1358" t="s">
        <v>7</v>
      </c>
      <c r="K1358" s="2" t="str">
        <f>HYPERLINK("https://www.nba.com/stats/events?CFID=&amp;CFPARAMS=&amp;GameEventID=187&amp;GameID=0021400314&amp;Season=2014-15&amp;flag=1&amp;title=Bonner%2024'%203PT%20Jump%20Shot%20(5%20PTS)%20(Leonard%202%20AST)", "Bonner 24' 3PT Jump Shot (5 PTS) (Leonard 2 AST)")</f>
        <v>Bonner 24' 3PT Jump Shot (5 PTS) (Leonard 2 AST)</v>
      </c>
      <c r="L1358" s="2" t="str">
        <f>HYPERLINK("https://www.nba.com/game/...-vs-...-0021400314/play-by-play?watchFullGame=true", "SAS vs UTA - Q2 04:42.00")</f>
        <v>SAS vs UTA - Q2 04:42.00</v>
      </c>
      <c r="M1358">
        <v>24</v>
      </c>
      <c r="N1358">
        <v>-240</v>
      </c>
      <c r="O1358">
        <v>3</v>
      </c>
      <c r="P1358">
        <v>-240</v>
      </c>
      <c r="Q1358">
        <v>3</v>
      </c>
      <c r="R1358" t="s">
        <v>0</v>
      </c>
      <c r="S1358" t="s">
        <v>0</v>
      </c>
      <c r="T1358" t="s">
        <v>0</v>
      </c>
    </row>
    <row r="1359" spans="1:20" x14ac:dyDescent="0.25">
      <c r="A1359">
        <v>21400739</v>
      </c>
      <c r="B1359" t="s">
        <v>10</v>
      </c>
      <c r="C1359" t="s">
        <v>9</v>
      </c>
      <c r="D1359">
        <v>10</v>
      </c>
      <c r="E1359">
        <v>15</v>
      </c>
      <c r="F1359">
        <v>5</v>
      </c>
      <c r="G1359">
        <v>1</v>
      </c>
      <c r="H1359" s="1">
        <v>4.4907407407407405E-3</v>
      </c>
      <c r="I1359">
        <v>2014</v>
      </c>
      <c r="J1359" t="s">
        <v>7</v>
      </c>
      <c r="K1359" s="2" t="str">
        <f>HYPERLINK("https://www.nba.com/stats/events?CFID=&amp;CFPARAMS=&amp;GameEventID=43&amp;GameID=0021400739&amp;Season=2014-15&amp;flag=1&amp;title=Green%20%203PT%20Jump%20Shot%20(3%20PTS)%20(Leonard%202%20AST)", "Green  3PT Jump Shot (3 PTS) (Leonard 2 AST)")</f>
        <v>Green  3PT Jump Shot (3 PTS) (Leonard 2 AST)</v>
      </c>
      <c r="L1359" s="2" t="str">
        <f>HYPERLINK("https://www.nba.com/game/...-vs-...-0021400739/play-by-play?watchFullGame=true", "SAS vs ORL - Q1 06:28.00")</f>
        <v>SAS vs ORL - Q1 06:28.00</v>
      </c>
      <c r="M1359">
        <v>0</v>
      </c>
      <c r="N1359">
        <v>-228</v>
      </c>
      <c r="O1359">
        <v>37</v>
      </c>
      <c r="P1359">
        <v>-228</v>
      </c>
      <c r="Q1359">
        <v>37</v>
      </c>
      <c r="R1359" t="s">
        <v>0</v>
      </c>
      <c r="S1359" t="s">
        <v>0</v>
      </c>
      <c r="T1359" t="s">
        <v>0</v>
      </c>
    </row>
    <row r="1360" spans="1:20" x14ac:dyDescent="0.25">
      <c r="A1360">
        <v>21300338</v>
      </c>
      <c r="B1360" t="s">
        <v>4</v>
      </c>
      <c r="C1360" t="s">
        <v>5</v>
      </c>
      <c r="D1360">
        <v>5</v>
      </c>
      <c r="E1360">
        <v>4</v>
      </c>
      <c r="F1360">
        <v>1</v>
      </c>
      <c r="G1360">
        <v>1</v>
      </c>
      <c r="H1360" s="1">
        <v>7.5115740740740742E-3</v>
      </c>
      <c r="I1360">
        <v>2013</v>
      </c>
      <c r="J1360" t="s">
        <v>7</v>
      </c>
      <c r="K1360" s="2" t="str">
        <f>HYPERLINK("https://www.nba.com/stats/events?CFID=&amp;CFPARAMS=&amp;GameEventID=8&amp;GameID=0021300338&amp;Season=2013-14&amp;flag=1&amp;title=Duncan%201'%20Layup%20(2%20PTS)%20(Leonard%201%20AST)", "Duncan 1' Layup (2 PTS) (Leonard 1 AST)")</f>
        <v>Duncan 1' Layup (2 PTS) (Leonard 1 AST)</v>
      </c>
      <c r="L1360" s="2" t="str">
        <f>HYPERLINK("https://www.nba.com/game/...-vs-...-0021300338/play-by-play?watchFullGame=true", "SAS vs MIN - Q1 10:49.00")</f>
        <v>SAS vs MIN - Q1 10:49.00</v>
      </c>
      <c r="M1360">
        <v>1</v>
      </c>
      <c r="N1360">
        <v>-7</v>
      </c>
      <c r="O1360">
        <v>3</v>
      </c>
      <c r="P1360">
        <v>-7</v>
      </c>
      <c r="Q1360">
        <v>3</v>
      </c>
      <c r="R1360" t="s">
        <v>0</v>
      </c>
      <c r="S1360" t="s">
        <v>0</v>
      </c>
      <c r="T1360" t="s">
        <v>0</v>
      </c>
    </row>
    <row r="1361" spans="1:20" x14ac:dyDescent="0.25">
      <c r="A1361">
        <v>21300451</v>
      </c>
      <c r="B1361" t="s">
        <v>4</v>
      </c>
      <c r="C1361" t="s">
        <v>5</v>
      </c>
      <c r="D1361">
        <v>19</v>
      </c>
      <c r="E1361">
        <v>14</v>
      </c>
      <c r="F1361">
        <v>5</v>
      </c>
      <c r="G1361">
        <v>1</v>
      </c>
      <c r="H1361" s="1">
        <v>3.3912037037037036E-3</v>
      </c>
      <c r="I1361">
        <v>2013</v>
      </c>
      <c r="J1361" t="s">
        <v>7</v>
      </c>
      <c r="K1361" s="2" t="str">
        <f>HYPERLINK("https://www.nba.com/stats/events?CFID=&amp;CFPARAMS=&amp;GameEventID=80&amp;GameID=0021300451&amp;Season=2013-14&amp;flag=1&amp;title=Parker%20%20Layup%20(6%20PTS)%20(Leonard%203%20AST)", "Parker  Layup (6 PTS) (Leonard 3 AST)")</f>
        <v>Parker  Layup (6 PTS) (Leonard 3 AST)</v>
      </c>
      <c r="L1361" s="2" t="str">
        <f>HYPERLINK("https://www.nba.com/game/...-vs-...-0021300451/play-by-play?watchFullGame=true", "SAS vs SAC - Q1 04:53.00")</f>
        <v>SAS vs SAC - Q1 04:53.00</v>
      </c>
      <c r="M1361">
        <v>0</v>
      </c>
      <c r="N1361">
        <v>-2</v>
      </c>
      <c r="O1361">
        <v>0</v>
      </c>
      <c r="P1361">
        <v>-2</v>
      </c>
      <c r="Q1361">
        <v>0</v>
      </c>
      <c r="R1361" t="s">
        <v>0</v>
      </c>
      <c r="S1361" t="s">
        <v>0</v>
      </c>
      <c r="T1361" t="s">
        <v>0</v>
      </c>
    </row>
    <row r="1362" spans="1:20" x14ac:dyDescent="0.25">
      <c r="A1362">
        <v>21301005</v>
      </c>
      <c r="B1362" t="s">
        <v>10</v>
      </c>
      <c r="C1362" t="s">
        <v>9</v>
      </c>
      <c r="D1362">
        <v>18</v>
      </c>
      <c r="E1362">
        <v>22</v>
      </c>
      <c r="F1362">
        <v>4</v>
      </c>
      <c r="G1362">
        <v>1</v>
      </c>
      <c r="H1362" s="1">
        <v>2.2800925925925927E-3</v>
      </c>
      <c r="I1362">
        <v>2013</v>
      </c>
      <c r="J1362" t="s">
        <v>12</v>
      </c>
      <c r="K1362" s="2" t="str">
        <f>HYPERLINK("https://www.nba.com/stats/events?CFID=&amp;CFPARAMS=&amp;GameEventID=79&amp;GameID=0021301005&amp;Season=2013-14&amp;flag=1&amp;title=Batum%2025'%203PT%20Jump%20Shot%20(14%20PTS)%20(Leonard%201%20AST)", "Batum 25' 3PT Jump Shot (14 PTS) (Leonard 1 AST)")</f>
        <v>Batum 25' 3PT Jump Shot (14 PTS) (Leonard 1 AST)</v>
      </c>
      <c r="L1362" s="2" t="str">
        <f>HYPERLINK("https://www.nba.com/game/...-vs-...-0021301005/play-by-play?watchFullGame=true", "POR vs MIL - Q1 03:17.00")</f>
        <v>POR vs MIL - Q1 03:17.00</v>
      </c>
      <c r="M1362">
        <v>25</v>
      </c>
      <c r="N1362">
        <v>1</v>
      </c>
      <c r="O1362">
        <v>246</v>
      </c>
      <c r="P1362">
        <v>1</v>
      </c>
      <c r="Q1362">
        <v>246</v>
      </c>
      <c r="R1362" t="s">
        <v>0</v>
      </c>
      <c r="S1362" t="s">
        <v>0</v>
      </c>
      <c r="T1362" t="s">
        <v>0</v>
      </c>
    </row>
    <row r="1363" spans="1:20" x14ac:dyDescent="0.25">
      <c r="A1363">
        <v>21301084</v>
      </c>
      <c r="B1363" t="s">
        <v>4</v>
      </c>
      <c r="C1363" t="s">
        <v>5</v>
      </c>
      <c r="D1363">
        <v>77</v>
      </c>
      <c r="E1363">
        <v>54</v>
      </c>
      <c r="F1363">
        <v>23</v>
      </c>
      <c r="G1363">
        <v>3</v>
      </c>
      <c r="H1363" s="1">
        <v>4.6296296296296294E-3</v>
      </c>
      <c r="I1363">
        <v>2013</v>
      </c>
      <c r="J1363" t="s">
        <v>7</v>
      </c>
      <c r="K1363" s="2" t="str">
        <f>HYPERLINK("https://www.nba.com/stats/events?CFID=&amp;CFPARAMS=&amp;GameEventID=320&amp;GameID=0021301084&amp;Season=2013-14&amp;flag=1&amp;title=Mills%203'%20Layup%20(7%20PTS)%20(Leonard%206%20AST)", "Mills 3' Layup (7 PTS) (Leonard 6 AST)")</f>
        <v>Mills 3' Layup (7 PTS) (Leonard 6 AST)</v>
      </c>
      <c r="L1363" s="2" t="str">
        <f>HYPERLINK("https://www.nba.com/game/...-vs-...-0021301084/play-by-play?watchFullGame=true", "SAS vs DEN - Q3 06:40.00")</f>
        <v>SAS vs DEN - Q3 06:40.00</v>
      </c>
      <c r="M1363">
        <v>3</v>
      </c>
      <c r="N1363">
        <v>28</v>
      </c>
      <c r="O1363">
        <v>4</v>
      </c>
      <c r="P1363">
        <v>28</v>
      </c>
      <c r="Q1363">
        <v>4</v>
      </c>
      <c r="R1363" t="s">
        <v>0</v>
      </c>
      <c r="S1363" t="s">
        <v>0</v>
      </c>
      <c r="T1363" t="s">
        <v>0</v>
      </c>
    </row>
    <row r="1364" spans="1:20" x14ac:dyDescent="0.25">
      <c r="A1364">
        <v>21301174</v>
      </c>
      <c r="B1364" t="s">
        <v>10</v>
      </c>
      <c r="C1364" t="s">
        <v>9</v>
      </c>
      <c r="D1364">
        <v>15</v>
      </c>
      <c r="E1364">
        <v>5</v>
      </c>
      <c r="F1364">
        <v>10</v>
      </c>
      <c r="G1364">
        <v>1</v>
      </c>
      <c r="H1364" s="1">
        <v>5.0000000000000001E-3</v>
      </c>
      <c r="I1364">
        <v>2013</v>
      </c>
      <c r="J1364" t="s">
        <v>7</v>
      </c>
      <c r="K1364" s="2" t="str">
        <f>HYPERLINK("https://www.nba.com/stats/events?CFID=&amp;CFPARAMS=&amp;GameEventID=37&amp;GameID=0021301174&amp;Season=2013-14&amp;flag=1&amp;title=Green%2024'%203PT%20Jump%20Shot%20(9%20PTS)%20(Leonard%202%20AST)", "Green 24' 3PT Jump Shot (9 PTS) (Leonard 2 AST)")</f>
        <v>Green 24' 3PT Jump Shot (9 PTS) (Leonard 2 AST)</v>
      </c>
      <c r="L1364" s="2" t="str">
        <f>HYPERLINK("https://www.nba.com/game/...-vs-...-0021301174/play-by-play?watchFullGame=true", "SAS vs DAL - Q1 07:12.00")</f>
        <v>SAS vs DAL - Q1 07:12.00</v>
      </c>
      <c r="M1364">
        <v>24</v>
      </c>
      <c r="N1364">
        <v>155</v>
      </c>
      <c r="O1364">
        <v>186</v>
      </c>
      <c r="P1364">
        <v>155</v>
      </c>
      <c r="Q1364">
        <v>186</v>
      </c>
      <c r="R1364" t="s">
        <v>0</v>
      </c>
      <c r="S1364" t="s">
        <v>0</v>
      </c>
      <c r="T1364" t="s">
        <v>0</v>
      </c>
    </row>
    <row r="1365" spans="1:20" x14ac:dyDescent="0.25">
      <c r="A1365">
        <v>21400064</v>
      </c>
      <c r="B1365" t="s">
        <v>4</v>
      </c>
      <c r="C1365" t="s">
        <v>9</v>
      </c>
      <c r="D1365">
        <v>17</v>
      </c>
      <c r="E1365">
        <v>11</v>
      </c>
      <c r="F1365">
        <v>6</v>
      </c>
      <c r="G1365">
        <v>1</v>
      </c>
      <c r="H1365" s="1">
        <v>4.5949074074074078E-3</v>
      </c>
      <c r="I1365">
        <v>2014</v>
      </c>
      <c r="J1365" t="s">
        <v>7</v>
      </c>
      <c r="K1365" s="2" t="str">
        <f>HYPERLINK("https://www.nba.com/stats/events?CFID=&amp;CFPARAMS=&amp;GameEventID=42&amp;GameID=0021400064&amp;Season=2014-15&amp;flag=1&amp;title=Parker%2014'%20Jump%20Shot%20(6%20PTS)%20(Leonard%202%20AST)", "Parker 14' Jump Shot (6 PTS) (Leonard 2 AST)")</f>
        <v>Parker 14' Jump Shot (6 PTS) (Leonard 2 AST)</v>
      </c>
      <c r="L1365" s="2" t="str">
        <f>HYPERLINK("https://www.nba.com/game/...-vs-...-0021400064/play-by-play?watchFullGame=true", "SAS vs ATL - Q1 06:37.00")</f>
        <v>SAS vs ATL - Q1 06:37.00</v>
      </c>
      <c r="M1365">
        <v>14</v>
      </c>
      <c r="N1365">
        <v>-141</v>
      </c>
      <c r="O1365">
        <v>0</v>
      </c>
      <c r="P1365">
        <v>-141</v>
      </c>
      <c r="Q1365">
        <v>0</v>
      </c>
      <c r="R1365" t="s">
        <v>0</v>
      </c>
      <c r="S1365" t="s">
        <v>0</v>
      </c>
      <c r="T1365" t="s">
        <v>0</v>
      </c>
    </row>
    <row r="1366" spans="1:20" x14ac:dyDescent="0.25">
      <c r="A1366">
        <v>21400139</v>
      </c>
      <c r="B1366" t="s">
        <v>10</v>
      </c>
      <c r="C1366" t="s">
        <v>9</v>
      </c>
      <c r="D1366">
        <v>84</v>
      </c>
      <c r="E1366">
        <v>85</v>
      </c>
      <c r="F1366">
        <v>1</v>
      </c>
      <c r="G1366">
        <v>4</v>
      </c>
      <c r="H1366" s="1">
        <v>2.1990740740740742E-3</v>
      </c>
      <c r="I1366">
        <v>2014</v>
      </c>
      <c r="J1366" t="s">
        <v>7</v>
      </c>
      <c r="K1366" s="2" t="str">
        <f>HYPERLINK("https://www.nba.com/stats/events?CFID=&amp;CFPARAMS=&amp;GameEventID=473&amp;GameID=0021400139&amp;Season=2014-15&amp;flag=1&amp;title=Parker%2025'%203PT%20Jump%20Shot%20(9%20PTS)%20(Leonard%204%20AST)", "Parker 25' 3PT Jump Shot (9 PTS) (Leonard 4 AST)")</f>
        <v>Parker 25' 3PT Jump Shot (9 PTS) (Leonard 4 AST)</v>
      </c>
      <c r="L1366" s="2" t="str">
        <f>HYPERLINK("https://www.nba.com/game/...-vs-...-0021400139/play-by-play?watchFullGame=true", "SAS vs SAC - Q4 03:10.00")</f>
        <v>SAS vs SAC - Q4 03:10.00</v>
      </c>
      <c r="M1366">
        <v>25</v>
      </c>
      <c r="N1366">
        <v>116</v>
      </c>
      <c r="O1366">
        <v>224</v>
      </c>
      <c r="P1366">
        <v>116</v>
      </c>
      <c r="Q1366">
        <v>224</v>
      </c>
      <c r="R1366" t="s">
        <v>0</v>
      </c>
      <c r="S1366" t="s">
        <v>0</v>
      </c>
      <c r="T1366" t="s">
        <v>0</v>
      </c>
    </row>
    <row r="1367" spans="1:20" x14ac:dyDescent="0.25">
      <c r="A1367">
        <v>21400266</v>
      </c>
      <c r="B1367" t="s">
        <v>4</v>
      </c>
      <c r="C1367" t="s">
        <v>5</v>
      </c>
      <c r="D1367">
        <v>66</v>
      </c>
      <c r="E1367">
        <v>78</v>
      </c>
      <c r="F1367">
        <v>12</v>
      </c>
      <c r="G1367">
        <v>4</v>
      </c>
      <c r="H1367" s="1">
        <v>4.7916666666666663E-3</v>
      </c>
      <c r="I1367">
        <v>2014</v>
      </c>
      <c r="J1367" t="s">
        <v>7</v>
      </c>
      <c r="K1367" s="2" t="str">
        <f>HYPERLINK("https://www.nba.com/stats/events?CFID=&amp;CFPARAMS=&amp;GameEventID=392&amp;GameID=0021400266&amp;Season=2014-15&amp;flag=1&amp;title=Ginobili%201'%20Layup%20(10%20PTS)%20(Leonard%201%20AST)", "Ginobili 1' Layup (10 PTS) (Leonard 1 AST)")</f>
        <v>Ginobili 1' Layup (10 PTS) (Leonard 1 AST)</v>
      </c>
      <c r="L1367" s="2" t="str">
        <f>HYPERLINK("https://www.nba.com/game/...-vs-...-0021400266/play-by-play?watchFullGame=true", "SAS vs BKN - Q4 06:54.00")</f>
        <v>SAS vs BKN - Q4 06:54.00</v>
      </c>
      <c r="M1367">
        <v>1</v>
      </c>
      <c r="N1367">
        <v>-11</v>
      </c>
      <c r="O1367">
        <v>1</v>
      </c>
      <c r="P1367">
        <v>-11</v>
      </c>
      <c r="Q1367">
        <v>1</v>
      </c>
      <c r="R1367" t="s">
        <v>0</v>
      </c>
      <c r="S1367" t="s">
        <v>0</v>
      </c>
      <c r="T1367" t="s">
        <v>0</v>
      </c>
    </row>
    <row r="1368" spans="1:20" x14ac:dyDescent="0.25">
      <c r="A1368">
        <v>21400314</v>
      </c>
      <c r="B1368" t="s">
        <v>10</v>
      </c>
      <c r="C1368" t="s">
        <v>9</v>
      </c>
      <c r="D1368">
        <v>62</v>
      </c>
      <c r="E1368">
        <v>67</v>
      </c>
      <c r="F1368">
        <v>5</v>
      </c>
      <c r="G1368">
        <v>3</v>
      </c>
      <c r="H1368" s="1">
        <v>2.638888888888889E-3</v>
      </c>
      <c r="I1368">
        <v>2014</v>
      </c>
      <c r="J1368" t="s">
        <v>7</v>
      </c>
      <c r="K1368" s="2" t="str">
        <f>HYPERLINK("https://www.nba.com/stats/events?CFID=&amp;CFPARAMS=&amp;GameEventID=307&amp;GameID=0021400314&amp;Season=2014-15&amp;flag=1&amp;title=Ginobili%2024'%203PT%20Jump%20Shot%20(4%20PTS)%20(Leonard%203%20AST)", "Ginobili 24' 3PT Jump Shot (4 PTS) (Leonard 3 AST)")</f>
        <v>Ginobili 24' 3PT Jump Shot (4 PTS) (Leonard 3 AST)</v>
      </c>
      <c r="L1368" s="2" t="str">
        <f>HYPERLINK("https://www.nba.com/game/...-vs-...-0021400314/play-by-play?watchFullGame=true", "SAS vs UTA - Q3 03:48.00")</f>
        <v>SAS vs UTA - Q3 03:48.00</v>
      </c>
      <c r="M1368">
        <v>24</v>
      </c>
      <c r="N1368">
        <v>166</v>
      </c>
      <c r="O1368">
        <v>179</v>
      </c>
      <c r="P1368">
        <v>166</v>
      </c>
      <c r="Q1368">
        <v>179</v>
      </c>
      <c r="R1368" t="s">
        <v>0</v>
      </c>
      <c r="S1368" t="s">
        <v>0</v>
      </c>
      <c r="T1368" t="s">
        <v>0</v>
      </c>
    </row>
    <row r="1369" spans="1:20" x14ac:dyDescent="0.25">
      <c r="A1369">
        <v>21300275</v>
      </c>
      <c r="B1369" t="s">
        <v>4</v>
      </c>
      <c r="C1369" t="s">
        <v>57</v>
      </c>
      <c r="D1369">
        <v>79</v>
      </c>
      <c r="E1369">
        <v>94</v>
      </c>
      <c r="F1369">
        <v>15</v>
      </c>
      <c r="G1369">
        <v>4</v>
      </c>
      <c r="H1369" s="1">
        <v>3.5879629629629629E-3</v>
      </c>
      <c r="I1369">
        <v>2013</v>
      </c>
      <c r="J1369" t="s">
        <v>7</v>
      </c>
      <c r="K1369" s="2" t="str">
        <f>HYPERLINK("https://www.nba.com/stats/events?CFID=&amp;CFPARAMS=&amp;GameEventID=469&amp;GameID=0021300275&amp;Season=2013-14&amp;flag=1&amp;title=Joseph%206'%20Running%20Bank%20Shot%20(7%20PTS)%20(Leonard%201%20AST)", "Joseph 6' Running Bank Shot (7 PTS) (Leonard 1 AST)")</f>
        <v>Joseph 6' Running Bank Shot (7 PTS) (Leonard 1 AST)</v>
      </c>
      <c r="L1369" s="2" t="str">
        <f>HYPERLINK("https://www.nba.com/game/...-vs-...-0021300275/play-by-play?watchFullGame=true", "SAS vs MIN - Q4 05:10.00")</f>
        <v>SAS vs MIN - Q4 05:10.00</v>
      </c>
      <c r="M1369">
        <v>6</v>
      </c>
      <c r="N1369">
        <v>53</v>
      </c>
      <c r="O1369">
        <v>33</v>
      </c>
      <c r="P1369">
        <v>53</v>
      </c>
      <c r="Q1369">
        <v>33</v>
      </c>
      <c r="R1369" t="s">
        <v>0</v>
      </c>
      <c r="S1369" t="s">
        <v>0</v>
      </c>
      <c r="T1369" t="s">
        <v>0</v>
      </c>
    </row>
    <row r="1370" spans="1:20" x14ac:dyDescent="0.25">
      <c r="A1370">
        <v>21300382</v>
      </c>
      <c r="B1370" t="s">
        <v>10</v>
      </c>
      <c r="C1370" t="s">
        <v>19</v>
      </c>
      <c r="D1370">
        <v>57</v>
      </c>
      <c r="E1370">
        <v>55</v>
      </c>
      <c r="F1370">
        <v>2</v>
      </c>
      <c r="G1370">
        <v>3</v>
      </c>
      <c r="H1370" s="1">
        <v>6.5277777777777782E-3</v>
      </c>
      <c r="I1370">
        <v>2013</v>
      </c>
      <c r="J1370" t="s">
        <v>7</v>
      </c>
      <c r="K1370" s="2" t="str">
        <f>HYPERLINK("https://www.nba.com/stats/events?CFID=&amp;CFPARAMS=&amp;GameEventID=271&amp;GameID=0021300382&amp;Season=2013-14&amp;flag=1&amp;title=Belinelli%2027'%203PT%20Pullup%20Jump%20Shot%20(10%20PTS)%20(Leonard%203%20AST)", "Belinelli 27' 3PT Pullup Jump Shot (10 PTS) (Leonard 3 AST)")</f>
        <v>Belinelli 27' 3PT Pullup Jump Shot (10 PTS) (Leonard 3 AST)</v>
      </c>
      <c r="L1370" s="2" t="str">
        <f>HYPERLINK("https://www.nba.com/game/...-vs-...-0021300382/play-by-play?watchFullGame=true", "SAS vs GSW - Q3 09:24.00")</f>
        <v>SAS vs GSW - Q3 09:24.00</v>
      </c>
      <c r="M1370">
        <v>27</v>
      </c>
      <c r="N1370">
        <v>12</v>
      </c>
      <c r="O1370">
        <v>268</v>
      </c>
      <c r="P1370">
        <v>12</v>
      </c>
      <c r="Q1370">
        <v>268</v>
      </c>
      <c r="R1370" t="s">
        <v>0</v>
      </c>
      <c r="S1370" t="s">
        <v>0</v>
      </c>
      <c r="T1370" t="s">
        <v>0</v>
      </c>
    </row>
    <row r="1371" spans="1:20" x14ac:dyDescent="0.25">
      <c r="A1371">
        <v>21300414</v>
      </c>
      <c r="B1371" t="s">
        <v>10</v>
      </c>
      <c r="C1371" t="s">
        <v>9</v>
      </c>
      <c r="D1371">
        <v>85</v>
      </c>
      <c r="E1371">
        <v>77</v>
      </c>
      <c r="F1371">
        <v>8</v>
      </c>
      <c r="G1371">
        <v>4</v>
      </c>
      <c r="H1371" s="1">
        <v>6.4814814814814813E-3</v>
      </c>
      <c r="I1371">
        <v>2013</v>
      </c>
      <c r="J1371" t="s">
        <v>7</v>
      </c>
      <c r="K1371" s="2" t="str">
        <f>HYPERLINK("https://www.nba.com/stats/events?CFID=&amp;CFPARAMS=&amp;GameEventID=445&amp;GameID=0021300414&amp;Season=2013-14&amp;flag=1&amp;title=Green%2024'%203PT%20Jump%20Shot%20(5%20PTS)%20(Leonard%202%20AST)", "Green 24' 3PT Jump Shot (5 PTS) (Leonard 2 AST)")</f>
        <v>Green 24' 3PT Jump Shot (5 PTS) (Leonard 2 AST)</v>
      </c>
      <c r="L1371" s="2" t="str">
        <f>HYPERLINK("https://www.nba.com/game/...-vs-...-0021300414/play-by-play?watchFullGame=true", "SAS vs TOR - Q4 09:20.00")</f>
        <v>SAS vs TOR - Q4 09:20.00</v>
      </c>
      <c r="M1371">
        <v>24</v>
      </c>
      <c r="N1371">
        <v>187</v>
      </c>
      <c r="O1371">
        <v>157</v>
      </c>
      <c r="P1371">
        <v>187</v>
      </c>
      <c r="Q1371">
        <v>157</v>
      </c>
      <c r="R1371" t="s">
        <v>0</v>
      </c>
      <c r="S1371" t="s">
        <v>0</v>
      </c>
      <c r="T1371" t="s">
        <v>0</v>
      </c>
    </row>
    <row r="1372" spans="1:20" x14ac:dyDescent="0.25">
      <c r="A1372">
        <v>21300630</v>
      </c>
      <c r="B1372" t="s">
        <v>4</v>
      </c>
      <c r="C1372" t="s">
        <v>5</v>
      </c>
      <c r="D1372">
        <v>48</v>
      </c>
      <c r="E1372">
        <v>47</v>
      </c>
      <c r="F1372">
        <v>1</v>
      </c>
      <c r="G1372">
        <v>2</v>
      </c>
      <c r="H1372" s="1">
        <v>2.5810185185185185E-3</v>
      </c>
      <c r="I1372">
        <v>2013</v>
      </c>
      <c r="J1372" t="s">
        <v>7</v>
      </c>
      <c r="K1372" s="2" t="str">
        <f>HYPERLINK("https://www.nba.com/stats/events?CFID=&amp;CFPARAMS=&amp;GameEventID=196&amp;GameID=0021300630&amp;Season=2013-14&amp;flag=1&amp;title=Parker%201'%20Layup%20(13%20PTS)%20(Leonard%201%20AST)", "Parker 1' Layup (13 PTS) (Leonard 1 AST)")</f>
        <v>Parker 1' Layup (13 PTS) (Leonard 1 AST)</v>
      </c>
      <c r="L1372" s="2" t="str">
        <f>HYPERLINK("https://www.nba.com/game/...-vs-...-0021300630/play-by-play?watchFullGame=true", "SAS vs OKC - Q2 03:43.00")</f>
        <v>SAS vs OKC - Q2 03:43.00</v>
      </c>
      <c r="M1372">
        <v>1</v>
      </c>
      <c r="N1372">
        <v>9</v>
      </c>
      <c r="O1372">
        <v>9</v>
      </c>
      <c r="P1372">
        <v>9</v>
      </c>
      <c r="Q1372">
        <v>9</v>
      </c>
      <c r="R1372" t="s">
        <v>0</v>
      </c>
      <c r="S1372" t="s">
        <v>0</v>
      </c>
      <c r="T1372" t="s">
        <v>0</v>
      </c>
    </row>
    <row r="1373" spans="1:20" x14ac:dyDescent="0.25">
      <c r="A1373">
        <v>21300859</v>
      </c>
      <c r="B1373" t="s">
        <v>4</v>
      </c>
      <c r="C1373" t="s">
        <v>9</v>
      </c>
      <c r="D1373">
        <v>55</v>
      </c>
      <c r="E1373">
        <v>53</v>
      </c>
      <c r="F1373">
        <v>2</v>
      </c>
      <c r="G1373">
        <v>2</v>
      </c>
      <c r="H1373" s="1">
        <v>8.564814814814815E-4</v>
      </c>
      <c r="I1373">
        <v>2013</v>
      </c>
      <c r="J1373" t="s">
        <v>7</v>
      </c>
      <c r="K1373" s="2" t="str">
        <f>HYPERLINK("https://www.nba.com/stats/events?CFID=&amp;CFPARAMS=&amp;GameEventID=236&amp;GameID=0021300859&amp;Season=2013-14&amp;flag=1&amp;title=Duncan%2018'%20Jump%20Shot%20(6%20PTS)%20(Leonard%202%20AST)", "Duncan 18' Jump Shot (6 PTS) (Leonard 2 AST)")</f>
        <v>Duncan 18' Jump Shot (6 PTS) (Leonard 2 AST)</v>
      </c>
      <c r="L1373" s="2" t="str">
        <f>HYPERLINK("https://www.nba.com/game/...-vs-...-0021300859/play-by-play?watchFullGame=true", "SAS vs DET - Q2 01:14.00")</f>
        <v>SAS vs DET - Q2 01:14.00</v>
      </c>
      <c r="M1373">
        <v>18</v>
      </c>
      <c r="N1373">
        <v>102</v>
      </c>
      <c r="O1373">
        <v>153</v>
      </c>
      <c r="P1373">
        <v>102</v>
      </c>
      <c r="Q1373">
        <v>153</v>
      </c>
      <c r="R1373" t="s">
        <v>0</v>
      </c>
      <c r="S1373" t="s">
        <v>0</v>
      </c>
      <c r="T1373" t="s">
        <v>0</v>
      </c>
    </row>
    <row r="1374" spans="1:20" x14ac:dyDescent="0.25">
      <c r="A1374">
        <v>21301030</v>
      </c>
      <c r="B1374" t="s">
        <v>10</v>
      </c>
      <c r="C1374" t="s">
        <v>9</v>
      </c>
      <c r="D1374">
        <v>76</v>
      </c>
      <c r="E1374">
        <v>61</v>
      </c>
      <c r="F1374">
        <v>15</v>
      </c>
      <c r="G1374">
        <v>4</v>
      </c>
      <c r="H1374" s="1">
        <v>6.1689814814814819E-3</v>
      </c>
      <c r="I1374">
        <v>2013</v>
      </c>
      <c r="J1374" t="s">
        <v>7</v>
      </c>
      <c r="K1374" s="2" t="str">
        <f>HYPERLINK("https://www.nba.com/stats/events?CFID=&amp;CFPARAMS=&amp;GameEventID=449&amp;GameID=0021301030&amp;Season=2013-14&amp;flag=1&amp;title=Belinelli%2024'%203PT%20Jump%20Shot%20(9%20PTS)%20(Leonard%201%20AST)", "Belinelli 24' 3PT Jump Shot (9 PTS) (Leonard 1 AST)")</f>
        <v>Belinelli 24' 3PT Jump Shot (9 PTS) (Leonard 1 AST)</v>
      </c>
      <c r="L1374" s="2" t="str">
        <f>HYPERLINK("https://www.nba.com/game/...-vs-...-0021301030/play-by-play?watchFullGame=true", "SAS vs SAC - Q4 08:53.00")</f>
        <v>SAS vs SAC - Q4 08:53.00</v>
      </c>
      <c r="M1374">
        <v>24</v>
      </c>
      <c r="N1374">
        <v>-234</v>
      </c>
      <c r="O1374">
        <v>30</v>
      </c>
      <c r="P1374">
        <v>-234</v>
      </c>
      <c r="Q1374">
        <v>30</v>
      </c>
      <c r="R1374" t="s">
        <v>0</v>
      </c>
      <c r="S1374" t="s">
        <v>0</v>
      </c>
      <c r="T1374" t="s">
        <v>0</v>
      </c>
    </row>
    <row r="1375" spans="1:20" x14ac:dyDescent="0.25">
      <c r="A1375">
        <v>21301092</v>
      </c>
      <c r="B1375" t="s">
        <v>10</v>
      </c>
      <c r="C1375" t="s">
        <v>9</v>
      </c>
      <c r="D1375">
        <v>35</v>
      </c>
      <c r="E1375">
        <v>22</v>
      </c>
      <c r="F1375">
        <v>13</v>
      </c>
      <c r="G1375">
        <v>2</v>
      </c>
      <c r="H1375" s="1">
        <v>6.030092592592593E-3</v>
      </c>
      <c r="I1375">
        <v>2013</v>
      </c>
      <c r="J1375" t="s">
        <v>7</v>
      </c>
      <c r="K1375" s="2" t="str">
        <f>HYPERLINK("https://www.nba.com/stats/events?CFID=&amp;CFPARAMS=&amp;GameEventID=122&amp;GameID=0021301092&amp;Season=2013-14&amp;flag=1&amp;title=Mills%2025'%203PT%20Jump%20Shot%20(5%20PTS)%20(Leonard%201%20AST)", "Mills 25' 3PT Jump Shot (5 PTS) (Leonard 1 AST)")</f>
        <v>Mills 25' 3PT Jump Shot (5 PTS) (Leonard 1 AST)</v>
      </c>
      <c r="L1375" s="2" t="str">
        <f>HYPERLINK("https://www.nba.com/game/...-vs-...-0021301092/play-by-play?watchFullGame=true", "SAS vs NOP - Q2 08:41.00")</f>
        <v>SAS vs NOP - Q2 08:41.00</v>
      </c>
      <c r="M1375">
        <v>25</v>
      </c>
      <c r="N1375">
        <v>9</v>
      </c>
      <c r="O1375">
        <v>249</v>
      </c>
      <c r="P1375">
        <v>9</v>
      </c>
      <c r="Q1375">
        <v>249</v>
      </c>
      <c r="R1375" t="s">
        <v>0</v>
      </c>
      <c r="S1375" t="s">
        <v>0</v>
      </c>
      <c r="T1375" t="s">
        <v>0</v>
      </c>
    </row>
    <row r="1376" spans="1:20" x14ac:dyDescent="0.25">
      <c r="A1376">
        <v>21301102</v>
      </c>
      <c r="B1376" t="s">
        <v>4</v>
      </c>
      <c r="C1376" t="s">
        <v>9</v>
      </c>
      <c r="D1376">
        <v>55</v>
      </c>
      <c r="E1376">
        <v>41</v>
      </c>
      <c r="F1376">
        <v>14</v>
      </c>
      <c r="G1376">
        <v>3</v>
      </c>
      <c r="H1376" s="1">
        <v>6.7708333333333336E-3</v>
      </c>
      <c r="I1376">
        <v>2013</v>
      </c>
      <c r="J1376" t="s">
        <v>7</v>
      </c>
      <c r="K1376" s="2" t="str">
        <f>HYPERLINK("https://www.nba.com/stats/events?CFID=&amp;CFPARAMS=&amp;GameEventID=255&amp;GameID=0021301102&amp;Season=2013-14&amp;flag=1&amp;title=Parker%2013'%20Jump%20Shot%20(18%20PTS)%20(Leonard%201%20AST)", "Parker 13' Jump Shot (18 PTS) (Leonard 1 AST)")</f>
        <v>Parker 13' Jump Shot (18 PTS) (Leonard 1 AST)</v>
      </c>
      <c r="L1376" s="2" t="str">
        <f>HYPERLINK("https://www.nba.com/game/...-vs-...-0021301102/play-by-play?watchFullGame=true", "SAS vs IND - Q3 09:45.00")</f>
        <v>SAS vs IND - Q3 09:45.00</v>
      </c>
      <c r="M1376">
        <v>13</v>
      </c>
      <c r="N1376">
        <v>-5</v>
      </c>
      <c r="O1376">
        <v>129</v>
      </c>
      <c r="P1376">
        <v>-5</v>
      </c>
      <c r="Q1376">
        <v>129</v>
      </c>
      <c r="R1376" t="s">
        <v>0</v>
      </c>
      <c r="S1376" t="s">
        <v>0</v>
      </c>
      <c r="T1376" t="s">
        <v>0</v>
      </c>
    </row>
    <row r="1377" spans="1:20" x14ac:dyDescent="0.25">
      <c r="A1377">
        <v>21300100</v>
      </c>
      <c r="B1377" t="s">
        <v>4</v>
      </c>
      <c r="C1377" t="s">
        <v>5</v>
      </c>
      <c r="D1377">
        <v>88</v>
      </c>
      <c r="E1377">
        <v>64</v>
      </c>
      <c r="F1377">
        <v>24</v>
      </c>
      <c r="G1377">
        <v>4</v>
      </c>
      <c r="H1377" s="1">
        <v>7.9282407407407409E-3</v>
      </c>
      <c r="I1377">
        <v>2013</v>
      </c>
      <c r="J1377" t="s">
        <v>7</v>
      </c>
      <c r="K1377" s="2" t="str">
        <f>HYPERLINK("https://www.nba.com/stats/events?CFID=&amp;CFPARAMS=&amp;GameEventID=337&amp;GameID=0021300100&amp;Season=2013-14&amp;flag=1&amp;title=Mills%202'%20Layup%20(10%20PTS)%20(Leonard%203%20AST)", "Mills 2' Layup (10 PTS) (Leonard 3 AST)")</f>
        <v>Mills 2' Layup (10 PTS) (Leonard 3 AST)</v>
      </c>
      <c r="L1377" s="2" t="str">
        <f>HYPERLINK("https://www.nba.com/game/...-vs-...-0021300100/play-by-play?watchFullGame=true", "SAS vs PHI - Q4 11:25.00")</f>
        <v>SAS vs PHI - Q4 11:25.00</v>
      </c>
      <c r="M1377">
        <v>2</v>
      </c>
      <c r="N1377">
        <v>0</v>
      </c>
      <c r="O1377">
        <v>15</v>
      </c>
      <c r="P1377">
        <v>0</v>
      </c>
      <c r="Q1377">
        <v>15</v>
      </c>
      <c r="R1377" t="s">
        <v>0</v>
      </c>
      <c r="S1377" t="s">
        <v>0</v>
      </c>
      <c r="T1377" t="s">
        <v>0</v>
      </c>
    </row>
    <row r="1378" spans="1:20" x14ac:dyDescent="0.25">
      <c r="A1378">
        <v>21300208</v>
      </c>
      <c r="B1378" t="s">
        <v>4</v>
      </c>
      <c r="C1378" t="s">
        <v>5</v>
      </c>
      <c r="D1378">
        <v>2</v>
      </c>
      <c r="E1378">
        <v>0</v>
      </c>
      <c r="F1378">
        <v>2</v>
      </c>
      <c r="G1378">
        <v>1</v>
      </c>
      <c r="H1378" s="1">
        <v>8.1250000000000003E-3</v>
      </c>
      <c r="I1378">
        <v>2013</v>
      </c>
      <c r="J1378" t="s">
        <v>7</v>
      </c>
      <c r="K1378" s="2" t="str">
        <f>HYPERLINK("https://www.nba.com/stats/events?CFID=&amp;CFPARAMS=&amp;GameEventID=2&amp;GameID=0021300208&amp;Season=2013-14&amp;flag=1&amp;title=Parker%20%20Layup%20(2%20PTS)%20(Leonard%201%20AST)", "Parker  Layup (2 PTS) (Leonard 1 AST)")</f>
        <v>Parker  Layup (2 PTS) (Leonard 1 AST)</v>
      </c>
      <c r="L1378" s="2" t="str">
        <f>HYPERLINK("https://www.nba.com/game/...-vs-...-0021300208/play-by-play?watchFullGame=true", "SAS vs NOP - Q1 11:42.00")</f>
        <v>SAS vs NOP - Q1 11:42.00</v>
      </c>
      <c r="M1378">
        <v>0</v>
      </c>
      <c r="N1378">
        <v>2</v>
      </c>
      <c r="O1378">
        <v>-3</v>
      </c>
      <c r="P1378">
        <v>2</v>
      </c>
      <c r="Q1378">
        <v>-3</v>
      </c>
      <c r="R1378" t="s">
        <v>0</v>
      </c>
      <c r="S1378" t="s">
        <v>0</v>
      </c>
      <c r="T1378" t="s">
        <v>0</v>
      </c>
    </row>
    <row r="1379" spans="1:20" x14ac:dyDescent="0.25">
      <c r="A1379">
        <v>21300296</v>
      </c>
      <c r="B1379" t="s">
        <v>4</v>
      </c>
      <c r="C1379" t="s">
        <v>9</v>
      </c>
      <c r="D1379">
        <v>2</v>
      </c>
      <c r="E1379">
        <v>0</v>
      </c>
      <c r="F1379">
        <v>2</v>
      </c>
      <c r="G1379">
        <v>1</v>
      </c>
      <c r="H1379" s="1">
        <v>7.7314814814814815E-3</v>
      </c>
      <c r="I1379">
        <v>2013</v>
      </c>
      <c r="J1379" t="s">
        <v>7</v>
      </c>
      <c r="K1379" s="2" t="str">
        <f>HYPERLINK("https://www.nba.com/stats/events?CFID=&amp;CFPARAMS=&amp;GameEventID=6&amp;GameID=0021300296&amp;Season=2013-14&amp;flag=1&amp;title=Duncan%2019'%20Jump%20Shot%20(2%20PTS)%20(Leonard%201%20AST)", "Duncan 19' Jump Shot (2 PTS) (Leonard 1 AST)")</f>
        <v>Duncan 19' Jump Shot (2 PTS) (Leonard 1 AST)</v>
      </c>
      <c r="L1379" s="2" t="str">
        <f>HYPERLINK("https://www.nba.com/game/...-vs-...-0021300296/play-by-play?watchFullGame=true", "SAS vs IND - Q1 11:08.00")</f>
        <v>SAS vs IND - Q1 11:08.00</v>
      </c>
      <c r="M1379">
        <v>19</v>
      </c>
      <c r="N1379">
        <v>125</v>
      </c>
      <c r="O1379">
        <v>143</v>
      </c>
      <c r="P1379">
        <v>125</v>
      </c>
      <c r="Q1379">
        <v>143</v>
      </c>
      <c r="R1379" t="s">
        <v>0</v>
      </c>
      <c r="S1379" t="s">
        <v>0</v>
      </c>
      <c r="T1379" t="s">
        <v>0</v>
      </c>
    </row>
    <row r="1380" spans="1:20" x14ac:dyDescent="0.25">
      <c r="A1380">
        <v>21300338</v>
      </c>
      <c r="B1380" t="s">
        <v>4</v>
      </c>
      <c r="C1380" t="s">
        <v>5</v>
      </c>
      <c r="D1380">
        <v>77</v>
      </c>
      <c r="E1380">
        <v>79</v>
      </c>
      <c r="F1380">
        <v>2</v>
      </c>
      <c r="G1380">
        <v>3</v>
      </c>
      <c r="H1380" s="1">
        <v>3.1944444444444446E-3</v>
      </c>
      <c r="I1380">
        <v>2013</v>
      </c>
      <c r="J1380" t="s">
        <v>7</v>
      </c>
      <c r="K1380" s="2" t="str">
        <f>HYPERLINK("https://www.nba.com/stats/events?CFID=&amp;CFPARAMS=&amp;GameEventID=303&amp;GameID=0021300338&amp;Season=2013-14&amp;flag=1&amp;title=Parker%201'%20Layup%20(17%20PTS)%20(Leonard%205%20AST)", "Parker 1' Layup (17 PTS) (Leonard 5 AST)")</f>
        <v>Parker 1' Layup (17 PTS) (Leonard 5 AST)</v>
      </c>
      <c r="L1380" s="2" t="str">
        <f>HYPERLINK("https://www.nba.com/game/...-vs-...-0021300338/play-by-play?watchFullGame=true", "SAS vs MIN - Q3 04:36.00")</f>
        <v>SAS vs MIN - Q3 04:36.00</v>
      </c>
      <c r="M1380">
        <v>1</v>
      </c>
      <c r="N1380">
        <v>-7</v>
      </c>
      <c r="O1380">
        <v>3</v>
      </c>
      <c r="P1380">
        <v>-7</v>
      </c>
      <c r="Q1380">
        <v>3</v>
      </c>
      <c r="R1380" t="s">
        <v>0</v>
      </c>
      <c r="S1380" t="s">
        <v>0</v>
      </c>
      <c r="T1380" t="s">
        <v>0</v>
      </c>
    </row>
    <row r="1381" spans="1:20" x14ac:dyDescent="0.25">
      <c r="A1381">
        <v>21300477</v>
      </c>
      <c r="B1381" t="s">
        <v>10</v>
      </c>
      <c r="C1381" t="s">
        <v>9</v>
      </c>
      <c r="D1381">
        <v>10</v>
      </c>
      <c r="E1381">
        <v>9</v>
      </c>
      <c r="F1381">
        <v>1</v>
      </c>
      <c r="G1381">
        <v>1</v>
      </c>
      <c r="H1381" s="1">
        <v>4.6412037037037038E-3</v>
      </c>
      <c r="I1381">
        <v>2013</v>
      </c>
      <c r="J1381" t="s">
        <v>7</v>
      </c>
      <c r="K1381" s="2" t="str">
        <f>HYPERLINK("https://www.nba.com/stats/events?CFID=&amp;CFPARAMS=&amp;GameEventID=41&amp;GameID=0021300477&amp;Season=2013-14&amp;flag=1&amp;title=Belinelli%2025'%203PT%20Jump%20Shot%20(10%20PTS)%20(Leonard%201%20AST)", "Belinelli 25' 3PT Jump Shot (10 PTS) (Leonard 1 AST)")</f>
        <v>Belinelli 25' 3PT Jump Shot (10 PTS) (Leonard 1 AST)</v>
      </c>
      <c r="L1381" s="2" t="str">
        <f>HYPERLINK("https://www.nba.com/game/...-vs-...-0021300477/play-by-play?watchFullGame=true", "SAS vs NYK - Q1 06:41.00")</f>
        <v>SAS vs NYK - Q1 06:41.00</v>
      </c>
      <c r="M1381">
        <v>25</v>
      </c>
      <c r="N1381">
        <v>-4</v>
      </c>
      <c r="O1381">
        <v>252</v>
      </c>
      <c r="P1381">
        <v>-4</v>
      </c>
      <c r="Q1381">
        <v>252</v>
      </c>
      <c r="R1381" t="s">
        <v>0</v>
      </c>
      <c r="S1381" t="s">
        <v>0</v>
      </c>
      <c r="T1381" t="s">
        <v>0</v>
      </c>
    </row>
    <row r="1382" spans="1:20" x14ac:dyDescent="0.25">
      <c r="A1382">
        <v>21300554</v>
      </c>
      <c r="B1382" t="s">
        <v>4</v>
      </c>
      <c r="C1382" t="s">
        <v>9</v>
      </c>
      <c r="D1382">
        <v>47</v>
      </c>
      <c r="E1382">
        <v>45</v>
      </c>
      <c r="F1382">
        <v>2</v>
      </c>
      <c r="G1382">
        <v>2</v>
      </c>
      <c r="H1382" s="1">
        <v>1.4583333333333334E-3</v>
      </c>
      <c r="I1382">
        <v>2013</v>
      </c>
      <c r="J1382" t="s">
        <v>7</v>
      </c>
      <c r="K1382" s="2" t="str">
        <f>HYPERLINK("https://www.nba.com/stats/events?CFID=&amp;CFPARAMS=&amp;GameEventID=219&amp;GameID=0021300554&amp;Season=2013-14&amp;flag=1&amp;title=Parker%2019'%20Jump%20Shot%20(12%20PTS)%20(Leonard%201%20AST)", "Parker 19' Jump Shot (12 PTS) (Leonard 1 AST)")</f>
        <v>Parker 19' Jump Shot (12 PTS) (Leonard 1 AST)</v>
      </c>
      <c r="L1382" s="2" t="str">
        <f>HYPERLINK("https://www.nba.com/game/...-vs-...-0021300554/play-by-play?watchFullGame=true", "SAS vs MIN - Q2 02:06.00")</f>
        <v>SAS vs MIN - Q2 02:06.00</v>
      </c>
      <c r="M1382">
        <v>19</v>
      </c>
      <c r="N1382">
        <v>-177</v>
      </c>
      <c r="O1382">
        <v>77</v>
      </c>
      <c r="P1382">
        <v>-177</v>
      </c>
      <c r="Q1382">
        <v>77</v>
      </c>
      <c r="R1382" t="s">
        <v>0</v>
      </c>
      <c r="S1382" t="s">
        <v>0</v>
      </c>
      <c r="T1382" t="s">
        <v>0</v>
      </c>
    </row>
    <row r="1383" spans="1:20" x14ac:dyDescent="0.25">
      <c r="A1383">
        <v>21300573</v>
      </c>
      <c r="B1383" t="s">
        <v>4</v>
      </c>
      <c r="C1383" t="s">
        <v>38</v>
      </c>
      <c r="D1383">
        <v>10</v>
      </c>
      <c r="E1383">
        <v>7</v>
      </c>
      <c r="F1383">
        <v>3</v>
      </c>
      <c r="G1383">
        <v>1</v>
      </c>
      <c r="H1383" s="1">
        <v>5.2314814814814811E-3</v>
      </c>
      <c r="I1383">
        <v>2013</v>
      </c>
      <c r="J1383" t="s">
        <v>7</v>
      </c>
      <c r="K1383" s="2" t="str">
        <f>HYPERLINK("https://www.nba.com/stats/events?CFID=&amp;CFPARAMS=&amp;GameEventID=36&amp;GameID=0021300573&amp;Season=2013-14&amp;flag=1&amp;title=Ayres%201'%20Dunk%20(2%20PTS)%20(Leonard%201%20AST)", "Ayres 1' Dunk (2 PTS) (Leonard 1 AST)")</f>
        <v>Ayres 1' Dunk (2 PTS) (Leonard 1 AST)</v>
      </c>
      <c r="L1383" s="2" t="str">
        <f>HYPERLINK("https://www.nba.com/game/...-vs-...-0021300573/play-by-play?watchFullGame=true", "SAS vs UTA - Q1 07:32.00")</f>
        <v>SAS vs UTA - Q1 07:32.00</v>
      </c>
      <c r="M1383">
        <v>1</v>
      </c>
      <c r="N1383">
        <v>7</v>
      </c>
      <c r="O1383">
        <v>1</v>
      </c>
      <c r="P1383">
        <v>7</v>
      </c>
      <c r="Q1383">
        <v>1</v>
      </c>
      <c r="R1383" t="s">
        <v>0</v>
      </c>
      <c r="S1383" t="s">
        <v>0</v>
      </c>
      <c r="T1383" t="s">
        <v>0</v>
      </c>
    </row>
    <row r="1384" spans="1:20" x14ac:dyDescent="0.25">
      <c r="A1384">
        <v>21300589</v>
      </c>
      <c r="B1384" t="s">
        <v>4</v>
      </c>
      <c r="C1384" t="s">
        <v>9</v>
      </c>
      <c r="D1384">
        <v>6</v>
      </c>
      <c r="E1384">
        <v>4</v>
      </c>
      <c r="F1384">
        <v>2</v>
      </c>
      <c r="G1384">
        <v>1</v>
      </c>
      <c r="H1384" s="1">
        <v>7.037037037037037E-3</v>
      </c>
      <c r="I1384">
        <v>2013</v>
      </c>
      <c r="J1384" t="s">
        <v>7</v>
      </c>
      <c r="K1384" s="2" t="str">
        <f>HYPERLINK("https://www.nba.com/stats/events?CFID=&amp;CFPARAMS=&amp;GameEventID=11&amp;GameID=0021300589&amp;Season=2013-14&amp;flag=1&amp;title=Belinelli%2015'%20Jump%20Shot%20(2%20PTS)%20(Leonard%201%20AST)", "Belinelli 15' Jump Shot (2 PTS) (Leonard 1 AST)")</f>
        <v>Belinelli 15' Jump Shot (2 PTS) (Leonard 1 AST)</v>
      </c>
      <c r="L1384" s="2" t="str">
        <f>HYPERLINK("https://www.nba.com/game/...-vs-...-0021300589/play-by-play?watchFullGame=true", "SAS vs POR - Q1 10:08.00")</f>
        <v>SAS vs POR - Q1 10:08.00</v>
      </c>
      <c r="M1384">
        <v>15</v>
      </c>
      <c r="N1384">
        <v>151</v>
      </c>
      <c r="O1384">
        <v>12</v>
      </c>
      <c r="P1384">
        <v>151</v>
      </c>
      <c r="Q1384">
        <v>12</v>
      </c>
      <c r="R1384" t="s">
        <v>0</v>
      </c>
      <c r="S1384" t="s">
        <v>0</v>
      </c>
      <c r="T1384" t="s">
        <v>0</v>
      </c>
    </row>
    <row r="1385" spans="1:20" x14ac:dyDescent="0.25">
      <c r="A1385">
        <v>21301186</v>
      </c>
      <c r="B1385" t="s">
        <v>10</v>
      </c>
      <c r="C1385" t="s">
        <v>9</v>
      </c>
      <c r="D1385">
        <v>68</v>
      </c>
      <c r="E1385">
        <v>72</v>
      </c>
      <c r="F1385">
        <v>4</v>
      </c>
      <c r="G1385">
        <v>3</v>
      </c>
      <c r="H1385" s="1">
        <v>4.6874999999999998E-3</v>
      </c>
      <c r="I1385">
        <v>2013</v>
      </c>
      <c r="J1385" t="s">
        <v>7</v>
      </c>
      <c r="K1385" s="2" t="str">
        <f>HYPERLINK("https://www.nba.com/stats/events?CFID=&amp;CFPARAMS=&amp;GameEventID=300&amp;GameID=0021301186&amp;Season=2013-14&amp;flag=1&amp;title=Green%2024'%203PT%20Jump%20Shot%20(26%20PTS)%20(Leonard%204%20AST)", "Green 24' 3PT Jump Shot (26 PTS) (Leonard 4 AST)")</f>
        <v>Green 24' 3PT Jump Shot (26 PTS) (Leonard 4 AST)</v>
      </c>
      <c r="L1385" s="2" t="str">
        <f>HYPERLINK("https://www.nba.com/game/...-vs-...-0021301186/play-by-play?watchFullGame=true", "SAS vs PHX - Q3 06:45.00")</f>
        <v>SAS vs PHX - Q3 06:45.00</v>
      </c>
      <c r="M1385">
        <v>24</v>
      </c>
      <c r="N1385">
        <v>189</v>
      </c>
      <c r="O1385">
        <v>151</v>
      </c>
      <c r="P1385">
        <v>189</v>
      </c>
      <c r="Q1385">
        <v>151</v>
      </c>
      <c r="R1385" t="s">
        <v>0</v>
      </c>
      <c r="S1385" t="s">
        <v>0</v>
      </c>
      <c r="T1385" t="s">
        <v>0</v>
      </c>
    </row>
    <row r="1386" spans="1:20" x14ac:dyDescent="0.25">
      <c r="A1386">
        <v>21300170</v>
      </c>
      <c r="B1386" t="s">
        <v>4</v>
      </c>
      <c r="C1386" t="s">
        <v>9</v>
      </c>
      <c r="D1386">
        <v>33</v>
      </c>
      <c r="E1386">
        <v>31</v>
      </c>
      <c r="F1386">
        <v>2</v>
      </c>
      <c r="G1386">
        <v>2</v>
      </c>
      <c r="H1386" s="1">
        <v>5.2199074074074075E-3</v>
      </c>
      <c r="I1386">
        <v>2013</v>
      </c>
      <c r="J1386" t="s">
        <v>7</v>
      </c>
      <c r="K1386" s="2" t="str">
        <f>HYPERLINK("https://www.nba.com/stats/events?CFID=&amp;CFPARAMS=&amp;GameEventID=131&amp;GameID=0021300170&amp;Season=2013-14&amp;flag=1&amp;title=Belinelli%2016'%20Jump%20Shot%20(4%20PTS)%20(Leonard%202%20AST)", "Belinelli 16' Jump Shot (4 PTS) (Leonard 2 AST)")</f>
        <v>Belinelli 16' Jump Shot (4 PTS) (Leonard 2 AST)</v>
      </c>
      <c r="L1386" s="2" t="str">
        <f>HYPERLINK("https://www.nba.com/game/...-vs-...-0021300170/play-by-play?watchFullGame=true", "SAS vs BOS - Q2 07:31.00")</f>
        <v>SAS vs BOS - Q2 07:31.00</v>
      </c>
      <c r="M1386">
        <v>16</v>
      </c>
      <c r="N1386">
        <v>-112</v>
      </c>
      <c r="O1386">
        <v>108</v>
      </c>
      <c r="P1386">
        <v>-112</v>
      </c>
      <c r="Q1386">
        <v>108</v>
      </c>
      <c r="R1386" t="s">
        <v>0</v>
      </c>
      <c r="S1386" t="s">
        <v>0</v>
      </c>
      <c r="T1386" t="s">
        <v>0</v>
      </c>
    </row>
    <row r="1387" spans="1:20" x14ac:dyDescent="0.25">
      <c r="A1387">
        <v>21300226</v>
      </c>
      <c r="B1387" t="s">
        <v>4</v>
      </c>
      <c r="C1387" t="s">
        <v>5</v>
      </c>
      <c r="D1387">
        <v>105</v>
      </c>
      <c r="E1387">
        <v>120</v>
      </c>
      <c r="F1387">
        <v>15</v>
      </c>
      <c r="G1387">
        <v>4</v>
      </c>
      <c r="H1387" s="1">
        <v>1.9444444444444446E-4</v>
      </c>
      <c r="I1387">
        <v>2013</v>
      </c>
      <c r="J1387" t="s">
        <v>12</v>
      </c>
      <c r="K1387" s="2" t="str">
        <f>HYPERLINK("https://www.nba.com/stats/events?CFID=&amp;CFPARAMS=&amp;GameEventID=532&amp;GameID=0021300226&amp;Season=2013-14&amp;flag=1&amp;title=Crabbe%20%20Layup%20(3%20PTS)%20(Leonard%201%20AST)", "Crabbe  Layup (3 PTS) (Leonard 1 AST)")</f>
        <v>Crabbe  Layup (3 PTS) (Leonard 1 AST)</v>
      </c>
      <c r="L1387" s="2" t="str">
        <f>HYPERLINK("https://www.nba.com/game/...-vs-...-0021300226/play-by-play?watchFullGame=true", "POR vs PHX - Q4 00:16.80")</f>
        <v>POR vs PHX - Q4 00:16.80</v>
      </c>
      <c r="M1387">
        <v>0</v>
      </c>
      <c r="N1387">
        <v>-4</v>
      </c>
      <c r="O1387">
        <v>0</v>
      </c>
      <c r="P1387">
        <v>-4</v>
      </c>
      <c r="Q1387">
        <v>0</v>
      </c>
      <c r="R1387" t="s">
        <v>0</v>
      </c>
      <c r="S1387" t="s">
        <v>0</v>
      </c>
      <c r="T1387" t="s">
        <v>0</v>
      </c>
    </row>
    <row r="1388" spans="1:20" x14ac:dyDescent="0.25">
      <c r="A1388">
        <v>21300993</v>
      </c>
      <c r="B1388" t="s">
        <v>10</v>
      </c>
      <c r="C1388" t="s">
        <v>9</v>
      </c>
      <c r="D1388">
        <v>100</v>
      </c>
      <c r="E1388">
        <v>86</v>
      </c>
      <c r="F1388">
        <v>14</v>
      </c>
      <c r="G1388">
        <v>4</v>
      </c>
      <c r="H1388" s="1">
        <v>5.9259259259259256E-3</v>
      </c>
      <c r="I1388">
        <v>2013</v>
      </c>
      <c r="J1388" t="s">
        <v>7</v>
      </c>
      <c r="K1388" s="2" t="str">
        <f>HYPERLINK("https://www.nba.com/stats/events?CFID=&amp;CFPARAMS=&amp;GameEventID=383&amp;GameID=0021300993&amp;Season=2013-14&amp;flag=1&amp;title=Mills%2025'%203PT%20Jump%20Shot%20(12%20PTS)%20(Leonard%203%20AST)", "Mills 25' 3PT Jump Shot (12 PTS) (Leonard 3 AST)")</f>
        <v>Mills 25' 3PT Jump Shot (12 PTS) (Leonard 3 AST)</v>
      </c>
      <c r="L1388" s="2" t="str">
        <f>HYPERLINK("https://www.nba.com/game/...-vs-...-0021300993/play-by-play?watchFullGame=true", "SAS vs UTA - Q4 08:32.00")</f>
        <v>SAS vs UTA - Q4 08:32.00</v>
      </c>
      <c r="M1388">
        <v>25</v>
      </c>
      <c r="N1388">
        <v>-49</v>
      </c>
      <c r="O1388">
        <v>250</v>
      </c>
      <c r="P1388">
        <v>-49</v>
      </c>
      <c r="Q1388">
        <v>250</v>
      </c>
      <c r="R1388" t="s">
        <v>0</v>
      </c>
      <c r="S1388" t="s">
        <v>0</v>
      </c>
      <c r="T1388" t="s">
        <v>0</v>
      </c>
    </row>
    <row r="1389" spans="1:20" x14ac:dyDescent="0.25">
      <c r="A1389">
        <v>21301017</v>
      </c>
      <c r="B1389" t="s">
        <v>4</v>
      </c>
      <c r="C1389" t="s">
        <v>5</v>
      </c>
      <c r="D1389">
        <v>118</v>
      </c>
      <c r="E1389">
        <v>102</v>
      </c>
      <c r="F1389">
        <v>16</v>
      </c>
      <c r="G1389">
        <v>4</v>
      </c>
      <c r="H1389" s="1">
        <v>1.7824074074074075E-3</v>
      </c>
      <c r="I1389">
        <v>2013</v>
      </c>
      <c r="J1389" t="s">
        <v>7</v>
      </c>
      <c r="K1389" s="2" t="str">
        <f>HYPERLINK("https://www.nba.com/stats/events?CFID=&amp;CFPARAMS=&amp;GameEventID=496&amp;GameID=0021301017&amp;Season=2013-14&amp;flag=1&amp;title=Splitter%203'%20Layup%20(9%20PTS)%20(Leonard%204%20AST)", "Splitter 3' Layup (9 PTS) (Leonard 4 AST)")</f>
        <v>Splitter 3' Layup (9 PTS) (Leonard 4 AST)</v>
      </c>
      <c r="L1389" s="2" t="str">
        <f>HYPERLINK("https://www.nba.com/game/...-vs-...-0021301017/play-by-play?watchFullGame=true", "SAS vs LAL - Q4 02:34.00")</f>
        <v>SAS vs LAL - Q4 02:34.00</v>
      </c>
      <c r="M1389">
        <v>3</v>
      </c>
      <c r="N1389">
        <v>21</v>
      </c>
      <c r="O1389">
        <v>14</v>
      </c>
      <c r="P1389">
        <v>21</v>
      </c>
      <c r="Q1389">
        <v>14</v>
      </c>
      <c r="R1389" t="s">
        <v>0</v>
      </c>
      <c r="S1389" t="s">
        <v>0</v>
      </c>
      <c r="T1389" t="s">
        <v>0</v>
      </c>
    </row>
    <row r="1390" spans="1:20" x14ac:dyDescent="0.25">
      <c r="A1390">
        <v>21301186</v>
      </c>
      <c r="B1390" t="s">
        <v>10</v>
      </c>
      <c r="C1390" t="s">
        <v>9</v>
      </c>
      <c r="D1390">
        <v>42</v>
      </c>
      <c r="E1390">
        <v>55</v>
      </c>
      <c r="F1390">
        <v>13</v>
      </c>
      <c r="G1390">
        <v>2</v>
      </c>
      <c r="H1390" s="1">
        <v>1.3425925925925925E-3</v>
      </c>
      <c r="I1390">
        <v>2013</v>
      </c>
      <c r="J1390" t="s">
        <v>7</v>
      </c>
      <c r="K1390" s="2" t="str">
        <f>HYPERLINK("https://www.nba.com/stats/events?CFID=&amp;CFPARAMS=&amp;GameEventID=236&amp;GameID=0021301186&amp;Season=2013-14&amp;flag=1&amp;title=Green%2025'%203PT%20Jump%20Shot%20(14%20PTS)%20(Leonard%201%20AST)", "Green 25' 3PT Jump Shot (14 PTS) (Leonard 1 AST)")</f>
        <v>Green 25' 3PT Jump Shot (14 PTS) (Leonard 1 AST)</v>
      </c>
      <c r="L1390" s="2" t="str">
        <f>HYPERLINK("https://www.nba.com/game/...-vs-...-0021301186/play-by-play?watchFullGame=true", "SAS vs PHX - Q2 01:56.00")</f>
        <v>SAS vs PHX - Q2 01:56.00</v>
      </c>
      <c r="M1390">
        <v>25</v>
      </c>
      <c r="N1390">
        <v>18</v>
      </c>
      <c r="O1390">
        <v>246</v>
      </c>
      <c r="P1390">
        <v>18</v>
      </c>
      <c r="Q1390">
        <v>246</v>
      </c>
      <c r="R1390" t="s">
        <v>0</v>
      </c>
      <c r="S1390" t="s">
        <v>0</v>
      </c>
      <c r="T1390" t="s">
        <v>0</v>
      </c>
    </row>
    <row r="1391" spans="1:20" x14ac:dyDescent="0.25">
      <c r="A1391">
        <v>21301228</v>
      </c>
      <c r="B1391" t="s">
        <v>4</v>
      </c>
      <c r="C1391" t="s">
        <v>9</v>
      </c>
      <c r="D1391">
        <v>51</v>
      </c>
      <c r="E1391">
        <v>37</v>
      </c>
      <c r="F1391">
        <v>14</v>
      </c>
      <c r="G1391">
        <v>2</v>
      </c>
      <c r="H1391" s="1">
        <v>4.7685185185185183E-3</v>
      </c>
      <c r="I1391">
        <v>2013</v>
      </c>
      <c r="J1391" t="s">
        <v>12</v>
      </c>
      <c r="K1391" s="2" t="str">
        <f>HYPERLINK("https://www.nba.com/stats/events?CFID=&amp;CFPARAMS=&amp;GameEventID=192&amp;GameID=0021301228&amp;Season=2013-14&amp;flag=1&amp;title=Barton%2020'%20Jump%20Shot%20(2%20PTS)%20(Leonard%201%20AST)", "Barton 20' Jump Shot (2 PTS) (Leonard 1 AST)")</f>
        <v>Barton 20' Jump Shot (2 PTS) (Leonard 1 AST)</v>
      </c>
      <c r="L1391" s="2" t="str">
        <f>HYPERLINK("https://www.nba.com/game/...-vs-...-0021301228/play-by-play?watchFullGame=true", "POR vs LAC - Q2 06:52.00")</f>
        <v>POR vs LAC - Q2 06:52.00</v>
      </c>
      <c r="M1391">
        <v>20</v>
      </c>
      <c r="N1391">
        <v>2</v>
      </c>
      <c r="O1391">
        <v>203</v>
      </c>
      <c r="P1391">
        <v>2</v>
      </c>
      <c r="Q1391">
        <v>203</v>
      </c>
      <c r="R1391" t="s">
        <v>0</v>
      </c>
      <c r="S1391" t="s">
        <v>0</v>
      </c>
      <c r="T1391" t="s">
        <v>0</v>
      </c>
    </row>
    <row r="1392" spans="1:20" x14ac:dyDescent="0.25">
      <c r="A1392">
        <v>21400069</v>
      </c>
      <c r="B1392" t="s">
        <v>4</v>
      </c>
      <c r="C1392" t="s">
        <v>5</v>
      </c>
      <c r="D1392">
        <v>53</v>
      </c>
      <c r="E1392">
        <v>80</v>
      </c>
      <c r="F1392">
        <v>27</v>
      </c>
      <c r="G1392">
        <v>3</v>
      </c>
      <c r="H1392" s="1">
        <v>5.3356481481481484E-4</v>
      </c>
      <c r="I1392">
        <v>2014</v>
      </c>
      <c r="J1392" t="s">
        <v>7</v>
      </c>
      <c r="K1392" s="2" t="str">
        <f>HYPERLINK("https://www.nba.com/stats/events?CFID=&amp;CFPARAMS=&amp;GameEventID=407&amp;GameID=0021400069&amp;Season=2014-15&amp;flag=1&amp;title=Joseph%203'%20Layup%20(12%20PTS)%20(Leonard%205%20AST)", "Joseph 3' Layup (12 PTS) (Leonard 5 AST)")</f>
        <v>Joseph 3' Layup (12 PTS) (Leonard 5 AST)</v>
      </c>
      <c r="L1392" s="2" t="str">
        <f>HYPERLINK("https://www.nba.com/game/...-vs-...-0021400069/play-by-play?watchFullGame=true", "SAS vs HOU - Q3 00:46.10")</f>
        <v>SAS vs HOU - Q3 00:46.10</v>
      </c>
      <c r="M1392">
        <v>3</v>
      </c>
      <c r="N1392">
        <v>28</v>
      </c>
      <c r="O1392">
        <v>0</v>
      </c>
      <c r="P1392">
        <v>28</v>
      </c>
      <c r="Q1392">
        <v>0</v>
      </c>
      <c r="R1392" t="s">
        <v>0</v>
      </c>
      <c r="S1392" t="s">
        <v>0</v>
      </c>
      <c r="T1392" t="s">
        <v>0</v>
      </c>
    </row>
    <row r="1393" spans="1:20" x14ac:dyDescent="0.25">
      <c r="A1393">
        <v>21400115</v>
      </c>
      <c r="B1393" t="s">
        <v>10</v>
      </c>
      <c r="C1393" t="s">
        <v>9</v>
      </c>
      <c r="D1393">
        <v>127</v>
      </c>
      <c r="E1393">
        <v>102</v>
      </c>
      <c r="F1393">
        <v>25</v>
      </c>
      <c r="G1393">
        <v>4</v>
      </c>
      <c r="H1393" s="1">
        <v>1.8634259259259259E-3</v>
      </c>
      <c r="I1393">
        <v>2014</v>
      </c>
      <c r="J1393" t="s">
        <v>12</v>
      </c>
      <c r="K1393" s="2" t="str">
        <f>HYPERLINK("https://www.nba.com/stats/events?CFID=&amp;CFPARAMS=&amp;GameEventID=563&amp;GameID=0021400115&amp;Season=2014-15&amp;flag=1&amp;title=Wright%2026'%203PT%20Jump%20Shot%20(3%20PTS)%20(Leonard%201%20AST)", "Wright 26' 3PT Jump Shot (3 PTS) (Leonard 1 AST)")</f>
        <v>Wright 26' 3PT Jump Shot (3 PTS) (Leonard 1 AST)</v>
      </c>
      <c r="L1393" s="2" t="str">
        <f>HYPERLINK("https://www.nba.com/game/...-vs-...-0021400115/play-by-play?watchFullGame=true", "POR vs DEN - Q4 02:41.00")</f>
        <v>POR vs DEN - Q4 02:41.00</v>
      </c>
      <c r="M1393">
        <v>26</v>
      </c>
      <c r="N1393">
        <v>200</v>
      </c>
      <c r="O1393">
        <v>170</v>
      </c>
      <c r="P1393">
        <v>200</v>
      </c>
      <c r="Q1393">
        <v>170</v>
      </c>
      <c r="R1393" t="s">
        <v>0</v>
      </c>
      <c r="S1393" t="s">
        <v>0</v>
      </c>
      <c r="T1393" t="s">
        <v>0</v>
      </c>
    </row>
    <row r="1394" spans="1:20" x14ac:dyDescent="0.25">
      <c r="A1394">
        <v>21300181</v>
      </c>
      <c r="B1394" t="s">
        <v>4</v>
      </c>
      <c r="C1394" t="s">
        <v>5</v>
      </c>
      <c r="D1394">
        <v>76</v>
      </c>
      <c r="E1394">
        <v>72</v>
      </c>
      <c r="F1394">
        <v>4</v>
      </c>
      <c r="G1394">
        <v>4</v>
      </c>
      <c r="H1394" s="1">
        <v>6.3194444444444444E-3</v>
      </c>
      <c r="I1394">
        <v>2013</v>
      </c>
      <c r="J1394" t="s">
        <v>7</v>
      </c>
      <c r="K1394" s="2" t="str">
        <f>HYPERLINK("https://www.nba.com/stats/events?CFID=&amp;CFPARAMS=&amp;GameEventID=373&amp;GameID=0021300181&amp;Season=2013-14&amp;flag=1&amp;title=Splitter%201'%20Layup%20(12%20PTS)%20(Leonard%203%20AST)", "Splitter 1' Layup (12 PTS) (Leonard 3 AST)")</f>
        <v>Splitter 1' Layup (12 PTS) (Leonard 3 AST)</v>
      </c>
      <c r="L1394" s="2" t="str">
        <f>HYPERLINK("https://www.nba.com/game/...-vs-...-0021300181/play-by-play?watchFullGame=true", "SAS vs MEM - Q4 09:06.00")</f>
        <v>SAS vs MEM - Q4 09:06.00</v>
      </c>
      <c r="M1394">
        <v>1</v>
      </c>
      <c r="N1394">
        <v>-5</v>
      </c>
      <c r="O1394">
        <v>-3</v>
      </c>
      <c r="P1394">
        <v>-5</v>
      </c>
      <c r="Q1394">
        <v>-3</v>
      </c>
      <c r="R1394" t="s">
        <v>0</v>
      </c>
      <c r="S1394" t="s">
        <v>0</v>
      </c>
      <c r="T1394" t="s">
        <v>0</v>
      </c>
    </row>
    <row r="1395" spans="1:20" x14ac:dyDescent="0.25">
      <c r="A1395">
        <v>21300224</v>
      </c>
      <c r="B1395" t="s">
        <v>10</v>
      </c>
      <c r="C1395" t="s">
        <v>9</v>
      </c>
      <c r="D1395">
        <v>29</v>
      </c>
      <c r="E1395">
        <v>28</v>
      </c>
      <c r="F1395">
        <v>1</v>
      </c>
      <c r="G1395">
        <v>2</v>
      </c>
      <c r="H1395" s="1">
        <v>5.8680555555555552E-3</v>
      </c>
      <c r="I1395">
        <v>2013</v>
      </c>
      <c r="J1395" t="s">
        <v>7</v>
      </c>
      <c r="K1395" s="2" t="str">
        <f>HYPERLINK("https://www.nba.com/stats/events?CFID=&amp;CFPARAMS=&amp;GameEventID=146&amp;GameID=0021300224&amp;Season=2013-14&amp;flag=1&amp;title=Mills%2025'%203PT%20Jump%20Shot%20(3%20PTS)%20(Leonard%201%20AST)", "Mills 25' 3PT Jump Shot (3 PTS) (Leonard 1 AST)")</f>
        <v>Mills 25' 3PT Jump Shot (3 PTS) (Leonard 1 AST)</v>
      </c>
      <c r="L1395" s="2" t="str">
        <f>HYPERLINK("https://www.nba.com/game/...-vs-...-0021300224/play-by-play?watchFullGame=true", "SAS vs OKC - Q2 08:27.00")</f>
        <v>SAS vs OKC - Q2 08:27.00</v>
      </c>
      <c r="M1395">
        <v>25</v>
      </c>
      <c r="N1395">
        <v>163</v>
      </c>
      <c r="O1395">
        <v>190</v>
      </c>
      <c r="P1395">
        <v>163</v>
      </c>
      <c r="Q1395">
        <v>190</v>
      </c>
      <c r="R1395" t="s">
        <v>0</v>
      </c>
      <c r="S1395" t="s">
        <v>0</v>
      </c>
      <c r="T1395" t="s">
        <v>0</v>
      </c>
    </row>
    <row r="1396" spans="1:20" x14ac:dyDescent="0.25">
      <c r="A1396">
        <v>21300312</v>
      </c>
      <c r="B1396" t="s">
        <v>10</v>
      </c>
      <c r="C1396" t="s">
        <v>9</v>
      </c>
      <c r="D1396">
        <v>75</v>
      </c>
      <c r="E1396">
        <v>65</v>
      </c>
      <c r="F1396">
        <v>10</v>
      </c>
      <c r="G1396">
        <v>3</v>
      </c>
      <c r="H1396" s="1">
        <v>3.7499999999999999E-3</v>
      </c>
      <c r="I1396">
        <v>2013</v>
      </c>
      <c r="J1396" t="s">
        <v>7</v>
      </c>
      <c r="K1396" s="2" t="str">
        <f>HYPERLINK("https://www.nba.com/stats/events?CFID=&amp;CFPARAMS=&amp;GameEventID=313&amp;GameID=0021300312&amp;Season=2013-14&amp;flag=1&amp;title=Parker%20%203PT%20Jump%20Shot%20(15%20PTS)%20(Leonard%204%20AST)", "Parker  3PT Jump Shot (15 PTS) (Leonard 4 AST)")</f>
        <v>Parker  3PT Jump Shot (15 PTS) (Leonard 4 AST)</v>
      </c>
      <c r="L1396" s="2" t="str">
        <f>HYPERLINK("https://www.nba.com/game/...-vs-...-0021300312/play-by-play?watchFullGame=true", "SAS vs TOR - Q3 05:24.00")</f>
        <v>SAS vs TOR - Q3 05:24.00</v>
      </c>
      <c r="M1396">
        <v>0</v>
      </c>
      <c r="N1396">
        <v>-224</v>
      </c>
      <c r="O1396">
        <v>-14</v>
      </c>
      <c r="P1396">
        <v>-224</v>
      </c>
      <c r="Q1396">
        <v>-14</v>
      </c>
      <c r="R1396" t="s">
        <v>0</v>
      </c>
      <c r="S1396" t="s">
        <v>0</v>
      </c>
      <c r="T1396" t="s">
        <v>0</v>
      </c>
    </row>
    <row r="1397" spans="1:20" x14ac:dyDescent="0.25">
      <c r="A1397">
        <v>21300451</v>
      </c>
      <c r="B1397" t="s">
        <v>4</v>
      </c>
      <c r="C1397" t="s">
        <v>5</v>
      </c>
      <c r="D1397">
        <v>7</v>
      </c>
      <c r="E1397">
        <v>6</v>
      </c>
      <c r="F1397">
        <v>1</v>
      </c>
      <c r="G1397">
        <v>1</v>
      </c>
      <c r="H1397" s="1">
        <v>5.7523148148148151E-3</v>
      </c>
      <c r="I1397">
        <v>2013</v>
      </c>
      <c r="J1397" t="s">
        <v>7</v>
      </c>
      <c r="K1397" s="2" t="str">
        <f>HYPERLINK("https://www.nba.com/stats/events?CFID=&amp;CFPARAMS=&amp;GameEventID=37&amp;GameID=0021300451&amp;Season=2013-14&amp;flag=1&amp;title=Duncan%201'%20Layup%20(4%20PTS)%20(Leonard%201%20AST)", "Duncan 1' Layup (4 PTS) (Leonard 1 AST)")</f>
        <v>Duncan 1' Layup (4 PTS) (Leonard 1 AST)</v>
      </c>
      <c r="L1397" s="2" t="str">
        <f>HYPERLINK("https://www.nba.com/game/...-vs-...-0021300451/play-by-play?watchFullGame=true", "SAS vs SAC - Q1 08:17.00")</f>
        <v>SAS vs SAC - Q1 08:17.00</v>
      </c>
      <c r="M1397">
        <v>1</v>
      </c>
      <c r="N1397">
        <v>-8</v>
      </c>
      <c r="O1397">
        <v>0</v>
      </c>
      <c r="P1397">
        <v>-8</v>
      </c>
      <c r="Q1397">
        <v>0</v>
      </c>
      <c r="R1397" t="s">
        <v>0</v>
      </c>
      <c r="S1397" t="s">
        <v>0</v>
      </c>
      <c r="T1397" t="s">
        <v>0</v>
      </c>
    </row>
    <row r="1398" spans="1:20" x14ac:dyDescent="0.25">
      <c r="A1398">
        <v>21300573</v>
      </c>
      <c r="B1398" t="s">
        <v>4</v>
      </c>
      <c r="C1398" t="s">
        <v>9</v>
      </c>
      <c r="D1398">
        <v>38</v>
      </c>
      <c r="E1398">
        <v>38</v>
      </c>
      <c r="F1398">
        <v>0</v>
      </c>
      <c r="G1398">
        <v>2</v>
      </c>
      <c r="H1398" s="1">
        <v>3.0439814814814813E-3</v>
      </c>
      <c r="I1398">
        <v>2013</v>
      </c>
      <c r="J1398" t="s">
        <v>7</v>
      </c>
      <c r="K1398" s="2" t="str">
        <f>HYPERLINK("https://www.nba.com/stats/events?CFID=&amp;CFPARAMS=&amp;GameEventID=195&amp;GameID=0021300573&amp;Season=2013-14&amp;flag=1&amp;title=Duncan%2018'%20Jump%20Shot%20(2%20PTS)%20(Leonard%203%20AST)", "Duncan 18' Jump Shot (2 PTS) (Leonard 3 AST)")</f>
        <v>Duncan 18' Jump Shot (2 PTS) (Leonard 3 AST)</v>
      </c>
      <c r="L1398" s="2" t="str">
        <f>HYPERLINK("https://www.nba.com/game/...-vs-...-0021300573/play-by-play?watchFullGame=true", "SAS vs UTA - Q2 04:23.00")</f>
        <v>SAS vs UTA - Q2 04:23.00</v>
      </c>
      <c r="M1398">
        <v>18</v>
      </c>
      <c r="N1398">
        <v>80</v>
      </c>
      <c r="O1398">
        <v>157</v>
      </c>
      <c r="P1398">
        <v>80</v>
      </c>
      <c r="Q1398">
        <v>157</v>
      </c>
      <c r="R1398" t="s">
        <v>0</v>
      </c>
      <c r="S1398" t="s">
        <v>0</v>
      </c>
      <c r="T1398" t="s">
        <v>0</v>
      </c>
    </row>
    <row r="1399" spans="1:20" x14ac:dyDescent="0.25">
      <c r="A1399">
        <v>21300977</v>
      </c>
      <c r="B1399" t="s">
        <v>10</v>
      </c>
      <c r="C1399" t="s">
        <v>9</v>
      </c>
      <c r="D1399">
        <v>19</v>
      </c>
      <c r="E1399">
        <v>17</v>
      </c>
      <c r="F1399">
        <v>2</v>
      </c>
      <c r="G1399">
        <v>1</v>
      </c>
      <c r="H1399" s="1">
        <v>3.2060185185185186E-3</v>
      </c>
      <c r="I1399">
        <v>2013</v>
      </c>
      <c r="J1399" t="s">
        <v>12</v>
      </c>
      <c r="K1399" s="2" t="str">
        <f>HYPERLINK("https://www.nba.com/stats/events?CFID=&amp;CFPARAMS=&amp;GameEventID=75&amp;GameID=0021300977&amp;Season=2013-14&amp;flag=1&amp;title=Batum%2025'%203PT%20Jump%20Shot%20(5%20PTS)%20(Leonard%201%20AST)", "Batum 25' 3PT Jump Shot (5 PTS) (Leonard 1 AST)")</f>
        <v>Batum 25' 3PT Jump Shot (5 PTS) (Leonard 1 AST)</v>
      </c>
      <c r="L1399" s="2" t="str">
        <f>HYPERLINK("https://www.nba.com/game/...-vs-...-0021300977/play-by-play?watchFullGame=true", "POR vs NOP - Q1 04:37.00")</f>
        <v>POR vs NOP - Q1 04:37.00</v>
      </c>
      <c r="M1399">
        <v>25</v>
      </c>
      <c r="N1399">
        <v>-93</v>
      </c>
      <c r="O1399">
        <v>231</v>
      </c>
      <c r="P1399">
        <v>-93</v>
      </c>
      <c r="Q1399">
        <v>231</v>
      </c>
      <c r="R1399" t="s">
        <v>0</v>
      </c>
      <c r="S1399" t="s">
        <v>0</v>
      </c>
      <c r="T1399" t="s">
        <v>0</v>
      </c>
    </row>
    <row r="1400" spans="1:20" x14ac:dyDescent="0.25">
      <c r="A1400">
        <v>21301174</v>
      </c>
      <c r="B1400" t="s">
        <v>4</v>
      </c>
      <c r="C1400" t="s">
        <v>9</v>
      </c>
      <c r="D1400">
        <v>51</v>
      </c>
      <c r="E1400">
        <v>51</v>
      </c>
      <c r="F1400">
        <v>0</v>
      </c>
      <c r="G1400">
        <v>3</v>
      </c>
      <c r="H1400" s="1">
        <v>7.9861111111111105E-3</v>
      </c>
      <c r="I1400">
        <v>2013</v>
      </c>
      <c r="J1400" t="s">
        <v>7</v>
      </c>
      <c r="K1400" s="2" t="str">
        <f>HYPERLINK("https://www.nba.com/stats/events?CFID=&amp;CFPARAMS=&amp;GameEventID=291&amp;GameID=0021301174&amp;Season=2013-14&amp;flag=1&amp;title=Duncan%2020'%20Jump%20Shot%20(9%20PTS)%20(Leonard%204%20AST)", "Duncan 20' Jump Shot (9 PTS) (Leonard 4 AST)")</f>
        <v>Duncan 20' Jump Shot (9 PTS) (Leonard 4 AST)</v>
      </c>
      <c r="L1400" s="2" t="str">
        <f>HYPERLINK("https://www.nba.com/game/...-vs-...-0021301174/play-by-play?watchFullGame=true", "SAS vs DAL - Q3 11:30.00")</f>
        <v>SAS vs DAL - Q3 11:30.00</v>
      </c>
      <c r="M1400">
        <v>20</v>
      </c>
      <c r="N1400">
        <v>72</v>
      </c>
      <c r="O1400">
        <v>184</v>
      </c>
      <c r="P1400">
        <v>72</v>
      </c>
      <c r="Q1400">
        <v>184</v>
      </c>
      <c r="R1400" t="s">
        <v>0</v>
      </c>
      <c r="S1400" t="s">
        <v>0</v>
      </c>
      <c r="T1400" t="s">
        <v>0</v>
      </c>
    </row>
    <row r="1401" spans="1:20" x14ac:dyDescent="0.25">
      <c r="A1401">
        <v>21301174</v>
      </c>
      <c r="B1401" t="s">
        <v>10</v>
      </c>
      <c r="C1401" t="s">
        <v>9</v>
      </c>
      <c r="D1401">
        <v>3</v>
      </c>
      <c r="E1401">
        <v>0</v>
      </c>
      <c r="F1401">
        <v>3</v>
      </c>
      <c r="G1401">
        <v>1</v>
      </c>
      <c r="H1401" s="1">
        <v>8.2175925925925923E-3</v>
      </c>
      <c r="I1401">
        <v>2013</v>
      </c>
      <c r="J1401" t="s">
        <v>7</v>
      </c>
      <c r="K1401" s="2" t="str">
        <f>HYPERLINK("https://www.nba.com/stats/events?CFID=&amp;CFPARAMS=&amp;GameEventID=2&amp;GameID=0021301174&amp;Season=2013-14&amp;flag=1&amp;title=Green%20%203PT%20Jump%20Shot%20(3%20PTS)%20(Leonard%201%20AST)", "Green  3PT Jump Shot (3 PTS) (Leonard 1 AST)")</f>
        <v>Green  3PT Jump Shot (3 PTS) (Leonard 1 AST)</v>
      </c>
      <c r="L1401" s="2" t="str">
        <f>HYPERLINK("https://www.nba.com/game/...-vs-...-0021301174/play-by-play?watchFullGame=true", "SAS vs DAL - Q1 11:50.00")</f>
        <v>SAS vs DAL - Q1 11:50.00</v>
      </c>
      <c r="M1401">
        <v>0</v>
      </c>
      <c r="N1401">
        <v>-223</v>
      </c>
      <c r="O1401">
        <v>0</v>
      </c>
      <c r="P1401">
        <v>-223</v>
      </c>
      <c r="Q1401">
        <v>0</v>
      </c>
      <c r="R1401" t="s">
        <v>0</v>
      </c>
      <c r="S1401" t="s">
        <v>0</v>
      </c>
      <c r="T1401" t="s">
        <v>0</v>
      </c>
    </row>
    <row r="1402" spans="1:20" x14ac:dyDescent="0.25">
      <c r="A1402">
        <v>21300013</v>
      </c>
      <c r="B1402" t="s">
        <v>4</v>
      </c>
      <c r="C1402" t="s">
        <v>38</v>
      </c>
      <c r="D1402">
        <v>79</v>
      </c>
      <c r="E1402">
        <v>66</v>
      </c>
      <c r="F1402">
        <v>13</v>
      </c>
      <c r="G1402">
        <v>4</v>
      </c>
      <c r="H1402" s="1">
        <v>6.122685185185185E-3</v>
      </c>
      <c r="I1402">
        <v>2013</v>
      </c>
      <c r="J1402" t="s">
        <v>7</v>
      </c>
      <c r="K1402" s="2" t="str">
        <f>HYPERLINK("https://www.nba.com/stats/events?CFID=&amp;CFPARAMS=&amp;GameEventID=396&amp;GameID=0021300013&amp;Season=2013-14&amp;flag=1&amp;title=Splitter%20%20Dunk%20(10%20PTS)%20(Leonard%201%20AST)", "Splitter  Dunk (10 PTS) (Leonard 1 AST)")</f>
        <v>Splitter  Dunk (10 PTS) (Leonard 1 AST)</v>
      </c>
      <c r="L1402" s="2" t="str">
        <f>HYPERLINK("https://www.nba.com/game/...-vs-...-0021300013/play-by-play?watchFullGame=true", "SAS vs MEM - Q4 08:49.00")</f>
        <v>SAS vs MEM - Q4 08:49.00</v>
      </c>
      <c r="M1402">
        <v>0</v>
      </c>
      <c r="N1402">
        <v>0</v>
      </c>
      <c r="O1402">
        <v>-2</v>
      </c>
      <c r="P1402">
        <v>0</v>
      </c>
      <c r="Q1402">
        <v>-2</v>
      </c>
      <c r="R1402" t="s">
        <v>0</v>
      </c>
      <c r="S1402" t="s">
        <v>0</v>
      </c>
      <c r="T1402" t="s">
        <v>0</v>
      </c>
    </row>
    <row r="1403" spans="1:20" x14ac:dyDescent="0.25">
      <c r="A1403">
        <v>21300296</v>
      </c>
      <c r="B1403" t="s">
        <v>10</v>
      </c>
      <c r="C1403" t="s">
        <v>9</v>
      </c>
      <c r="D1403">
        <v>65</v>
      </c>
      <c r="E1403">
        <v>85</v>
      </c>
      <c r="F1403">
        <v>20</v>
      </c>
      <c r="G1403">
        <v>3</v>
      </c>
      <c r="H1403" s="1">
        <v>3.5879629629629629E-4</v>
      </c>
      <c r="I1403">
        <v>2013</v>
      </c>
      <c r="J1403" t="s">
        <v>7</v>
      </c>
      <c r="K1403" s="2" t="str">
        <f>HYPERLINK("https://www.nba.com/stats/events?CFID=&amp;CFPARAMS=&amp;GameEventID=312&amp;GameID=0021300296&amp;Season=2013-14&amp;flag=1&amp;title=Ginobili%2025'%203PT%20Jump%20Shot%20(16%20PTS)%20(Leonard%203%20AST)", "Ginobili 25' 3PT Jump Shot (16 PTS) (Leonard 3 AST)")</f>
        <v>Ginobili 25' 3PT Jump Shot (16 PTS) (Leonard 3 AST)</v>
      </c>
      <c r="L1403" s="2" t="str">
        <f>HYPERLINK("https://www.nba.com/game/...-vs-...-0021300296/play-by-play?watchFullGame=true", "SAS vs IND - Q3 00:31.00")</f>
        <v>SAS vs IND - Q3 00:31.00</v>
      </c>
      <c r="M1403">
        <v>25</v>
      </c>
      <c r="N1403">
        <v>17</v>
      </c>
      <c r="O1403">
        <v>252</v>
      </c>
      <c r="P1403">
        <v>17</v>
      </c>
      <c r="Q1403">
        <v>252</v>
      </c>
      <c r="R1403" t="s">
        <v>0</v>
      </c>
      <c r="S1403" t="s">
        <v>0</v>
      </c>
      <c r="T1403" t="s">
        <v>0</v>
      </c>
    </row>
    <row r="1404" spans="1:20" x14ac:dyDescent="0.25">
      <c r="A1404">
        <v>21300477</v>
      </c>
      <c r="B1404" t="s">
        <v>4</v>
      </c>
      <c r="C1404" t="s">
        <v>9</v>
      </c>
      <c r="D1404">
        <v>49</v>
      </c>
      <c r="E1404">
        <v>55</v>
      </c>
      <c r="F1404">
        <v>6</v>
      </c>
      <c r="G1404">
        <v>3</v>
      </c>
      <c r="H1404" s="1">
        <v>7.5925925925925926E-3</v>
      </c>
      <c r="I1404">
        <v>2013</v>
      </c>
      <c r="J1404" t="s">
        <v>7</v>
      </c>
      <c r="K1404" s="2" t="str">
        <f>HYPERLINK("https://www.nba.com/stats/events?CFID=&amp;CFPARAMS=&amp;GameEventID=220&amp;GameID=0021300477&amp;Season=2013-14&amp;flag=1&amp;title=Belinelli%2016'%20Jump%20Shot%20(15%20PTS)%20(Leonard%204%20AST)", "Belinelli 16' Jump Shot (15 PTS) (Leonard 4 AST)")</f>
        <v>Belinelli 16' Jump Shot (15 PTS) (Leonard 4 AST)</v>
      </c>
      <c r="L1404" s="2" t="str">
        <f>HYPERLINK("https://www.nba.com/game/...-vs-...-0021300477/play-by-play?watchFullGame=true", "SAS vs NYK - Q3 10:56.00")</f>
        <v>SAS vs NYK - Q3 10:56.00</v>
      </c>
      <c r="M1404">
        <v>16</v>
      </c>
      <c r="N1404">
        <v>-157</v>
      </c>
      <c r="O1404">
        <v>0</v>
      </c>
      <c r="P1404">
        <v>-157</v>
      </c>
      <c r="Q1404">
        <v>0</v>
      </c>
      <c r="R1404" t="s">
        <v>0</v>
      </c>
      <c r="S1404" t="s">
        <v>0</v>
      </c>
      <c r="T1404" t="s">
        <v>0</v>
      </c>
    </row>
    <row r="1405" spans="1:20" x14ac:dyDescent="0.25">
      <c r="A1405">
        <v>21300559</v>
      </c>
      <c r="B1405" t="s">
        <v>4</v>
      </c>
      <c r="C1405" t="s">
        <v>5</v>
      </c>
      <c r="D1405">
        <v>57</v>
      </c>
      <c r="E1405">
        <v>65</v>
      </c>
      <c r="F1405">
        <v>8</v>
      </c>
      <c r="G1405">
        <v>3</v>
      </c>
      <c r="H1405" s="1">
        <v>6.1574074074074074E-3</v>
      </c>
      <c r="I1405">
        <v>2013</v>
      </c>
      <c r="J1405" t="s">
        <v>7</v>
      </c>
      <c r="K1405" s="2" t="str">
        <f>HYPERLINK("https://www.nba.com/stats/events?CFID=&amp;CFPARAMS=&amp;GameEventID=312&amp;GameID=0021300559&amp;Season=2013-14&amp;flag=1&amp;title=Duncan%201'%20Layup%20(10%20PTS)%20(Leonard%202%20AST)", "Duncan 1' Layup (10 PTS) (Leonard 2 AST)")</f>
        <v>Duncan 1' Layup (10 PTS) (Leonard 2 AST)</v>
      </c>
      <c r="L1405" s="2" t="str">
        <f>HYPERLINK("https://www.nba.com/game/...-vs-...-0021300559/play-by-play?watchFullGame=true", "SAS vs NOP - Q3 08:52.00")</f>
        <v>SAS vs NOP - Q3 08:52.00</v>
      </c>
      <c r="M1405">
        <v>1</v>
      </c>
      <c r="N1405">
        <v>-10</v>
      </c>
      <c r="O1405">
        <v>9</v>
      </c>
      <c r="P1405">
        <v>-10</v>
      </c>
      <c r="Q1405">
        <v>9</v>
      </c>
      <c r="R1405" t="s">
        <v>0</v>
      </c>
      <c r="S1405" t="s">
        <v>0</v>
      </c>
      <c r="T1405" t="s">
        <v>0</v>
      </c>
    </row>
    <row r="1406" spans="1:20" x14ac:dyDescent="0.25">
      <c r="A1406">
        <v>21300573</v>
      </c>
      <c r="B1406" t="s">
        <v>4</v>
      </c>
      <c r="C1406" t="s">
        <v>5</v>
      </c>
      <c r="D1406">
        <v>56</v>
      </c>
      <c r="E1406">
        <v>49</v>
      </c>
      <c r="F1406">
        <v>7</v>
      </c>
      <c r="G1406">
        <v>3</v>
      </c>
      <c r="H1406" s="1">
        <v>6.828703703703704E-3</v>
      </c>
      <c r="I1406">
        <v>2013</v>
      </c>
      <c r="J1406" t="s">
        <v>7</v>
      </c>
      <c r="K1406" s="2" t="str">
        <f>HYPERLINK("https://www.nba.com/stats/events?CFID=&amp;CFPARAMS=&amp;GameEventID=254&amp;GameID=0021300573&amp;Season=2013-14&amp;flag=1&amp;title=Parker%202'%20Layup%20(10%20PTS)%20(Leonard%204%20AST)", "Parker 2' Layup (10 PTS) (Leonard 4 AST)")</f>
        <v>Parker 2' Layup (10 PTS) (Leonard 4 AST)</v>
      </c>
      <c r="L1406" s="2" t="str">
        <f>HYPERLINK("https://www.nba.com/game/...-vs-...-0021300573/play-by-play?watchFullGame=true", "SAS vs UTA - Q3 09:50.00")</f>
        <v>SAS vs UTA - Q3 09:50.00</v>
      </c>
      <c r="M1406">
        <v>2</v>
      </c>
      <c r="N1406">
        <v>6</v>
      </c>
      <c r="O1406">
        <v>15</v>
      </c>
      <c r="P1406">
        <v>6</v>
      </c>
      <c r="Q1406">
        <v>15</v>
      </c>
      <c r="R1406" t="s">
        <v>0</v>
      </c>
      <c r="S1406" t="s">
        <v>0</v>
      </c>
      <c r="T1406" t="s">
        <v>0</v>
      </c>
    </row>
    <row r="1407" spans="1:20" x14ac:dyDescent="0.25">
      <c r="A1407">
        <v>21300898</v>
      </c>
      <c r="B1407" t="s">
        <v>4</v>
      </c>
      <c r="C1407" t="s">
        <v>26</v>
      </c>
      <c r="D1407">
        <v>27</v>
      </c>
      <c r="E1407">
        <v>27</v>
      </c>
      <c r="F1407">
        <v>0</v>
      </c>
      <c r="G1407">
        <v>2</v>
      </c>
      <c r="H1407" s="1">
        <v>5.6018518518518518E-3</v>
      </c>
      <c r="I1407">
        <v>2013</v>
      </c>
      <c r="J1407" t="s">
        <v>7</v>
      </c>
      <c r="K1407" s="2" t="str">
        <f>HYPERLINK("https://www.nba.com/stats/events?CFID=&amp;CFPARAMS=&amp;GameEventID=188&amp;GameID=0021300898&amp;Season=2013-14&amp;flag=1&amp;title=Belinelli%201'%20Reverse%20Layup%20(5%20PTS)%20(Leonard%202%20AST)", "Belinelli 1' Reverse Layup (5 PTS) (Leonard 2 AST)")</f>
        <v>Belinelli 1' Reverse Layup (5 PTS) (Leonard 2 AST)</v>
      </c>
      <c r="L1407" s="2" t="str">
        <f>HYPERLINK("https://www.nba.com/game/...-vs-...-0021300898/play-by-play?watchFullGame=true", "SAS vs CLE - Q2 08:04.00")</f>
        <v>SAS vs CLE - Q2 08:04.00</v>
      </c>
      <c r="M1407">
        <v>1</v>
      </c>
      <c r="N1407">
        <v>0</v>
      </c>
      <c r="O1407">
        <v>7</v>
      </c>
      <c r="P1407">
        <v>0</v>
      </c>
      <c r="Q1407">
        <v>7</v>
      </c>
      <c r="R1407" t="s">
        <v>0</v>
      </c>
      <c r="S1407" t="s">
        <v>0</v>
      </c>
      <c r="T1407" t="s">
        <v>0</v>
      </c>
    </row>
    <row r="1408" spans="1:20" x14ac:dyDescent="0.25">
      <c r="A1408">
        <v>21300952</v>
      </c>
      <c r="B1408" t="s">
        <v>4</v>
      </c>
      <c r="C1408" t="s">
        <v>26</v>
      </c>
      <c r="D1408">
        <v>94</v>
      </c>
      <c r="E1408">
        <v>68</v>
      </c>
      <c r="F1408">
        <v>26</v>
      </c>
      <c r="G1408">
        <v>4</v>
      </c>
      <c r="H1408" s="1">
        <v>7.2106481481481483E-3</v>
      </c>
      <c r="I1408">
        <v>2013</v>
      </c>
      <c r="J1408" t="s">
        <v>7</v>
      </c>
      <c r="K1408" s="2" t="str">
        <f>HYPERLINK("https://www.nba.com/stats/events?CFID=&amp;CFPARAMS=&amp;GameEventID=360&amp;GameID=0021300952&amp;Season=2013-14&amp;flag=1&amp;title=Baynes%201'%20Reverse%20Layup%20(6%20PTS)%20(Leonard%201%20AST)", "Baynes 1' Reverse Layup (6 PTS) (Leonard 1 AST)")</f>
        <v>Baynes 1' Reverse Layup (6 PTS) (Leonard 1 AST)</v>
      </c>
      <c r="L1408" s="2" t="str">
        <f>HYPERLINK("https://www.nba.com/game/...-vs-...-0021300952/play-by-play?watchFullGame=true", "SAS vs CHI - Q4 10:23.00")</f>
        <v>SAS vs CHI - Q4 10:23.00</v>
      </c>
      <c r="M1408">
        <v>1</v>
      </c>
      <c r="N1408">
        <v>13</v>
      </c>
      <c r="O1408">
        <v>6</v>
      </c>
      <c r="P1408">
        <v>13</v>
      </c>
      <c r="Q1408">
        <v>6</v>
      </c>
      <c r="R1408" t="s">
        <v>0</v>
      </c>
      <c r="S1408" t="s">
        <v>0</v>
      </c>
      <c r="T1408" t="s">
        <v>0</v>
      </c>
    </row>
    <row r="1409" spans="1:20" x14ac:dyDescent="0.25">
      <c r="A1409">
        <v>21300993</v>
      </c>
      <c r="B1409" t="s">
        <v>4</v>
      </c>
      <c r="C1409" t="s">
        <v>22</v>
      </c>
      <c r="D1409">
        <v>49</v>
      </c>
      <c r="E1409">
        <v>42</v>
      </c>
      <c r="F1409">
        <v>7</v>
      </c>
      <c r="G1409">
        <v>2</v>
      </c>
      <c r="H1409" s="1">
        <v>2.1990740740740742E-3</v>
      </c>
      <c r="I1409">
        <v>2013</v>
      </c>
      <c r="J1409" t="s">
        <v>7</v>
      </c>
      <c r="K1409" s="2" t="str">
        <f>HYPERLINK("https://www.nba.com/stats/events?CFID=&amp;CFPARAMS=&amp;GameEventID=187&amp;GameID=0021300993&amp;Season=2013-14&amp;flag=1&amp;title=Duncan%207'%20Jump%20Bank%20Shot%20(12%20PTS)%20(Leonard%202%20AST)", "Duncan 7' Jump Bank Shot (12 PTS) (Leonard 2 AST)")</f>
        <v>Duncan 7' Jump Bank Shot (12 PTS) (Leonard 2 AST)</v>
      </c>
      <c r="L1409" s="2" t="str">
        <f>HYPERLINK("https://www.nba.com/game/...-vs-...-0021300993/play-by-play?watchFullGame=true", "SAS vs UTA - Q2 03:10.00")</f>
        <v>SAS vs UTA - Q2 03:10.00</v>
      </c>
      <c r="M1409">
        <v>7</v>
      </c>
      <c r="N1409">
        <v>72</v>
      </c>
      <c r="O1409">
        <v>-3</v>
      </c>
      <c r="P1409">
        <v>72</v>
      </c>
      <c r="Q1409">
        <v>-3</v>
      </c>
      <c r="R1409" t="s">
        <v>0</v>
      </c>
      <c r="S1409" t="s">
        <v>0</v>
      </c>
      <c r="T1409" t="s">
        <v>0</v>
      </c>
    </row>
    <row r="1410" spans="1:20" x14ac:dyDescent="0.25">
      <c r="A1410">
        <v>21300057</v>
      </c>
      <c r="B1410" t="s">
        <v>10</v>
      </c>
      <c r="C1410" t="s">
        <v>9</v>
      </c>
      <c r="D1410">
        <v>84</v>
      </c>
      <c r="E1410">
        <v>82</v>
      </c>
      <c r="F1410">
        <v>2</v>
      </c>
      <c r="G1410">
        <v>4</v>
      </c>
      <c r="H1410" s="1">
        <v>5.9375000000000001E-3</v>
      </c>
      <c r="I1410">
        <v>2013</v>
      </c>
      <c r="J1410" t="s">
        <v>7</v>
      </c>
      <c r="K1410" s="2" t="str">
        <f>HYPERLINK("https://www.nba.com/stats/events?CFID=&amp;CFPARAMS=&amp;GameEventID=443&amp;GameID=0021300057&amp;Season=2013-14&amp;flag=1&amp;title=Diaw%2025'%203PT%20Jump%20Shot%20(7%20PTS)%20(Leonard%202%20AST)", "Diaw 25' 3PT Jump Shot (7 PTS) (Leonard 2 AST)")</f>
        <v>Diaw 25' 3PT Jump Shot (7 PTS) (Leonard 2 AST)</v>
      </c>
      <c r="L1410" s="2" t="str">
        <f>HYPERLINK("https://www.nba.com/game/...-vs-...-0021300057/play-by-play?watchFullGame=true", "SAS vs DEN - Q4 08:33.00")</f>
        <v>SAS vs DEN - Q4 08:33.00</v>
      </c>
      <c r="M1410">
        <v>25</v>
      </c>
      <c r="N1410">
        <v>237</v>
      </c>
      <c r="O1410">
        <v>71</v>
      </c>
      <c r="P1410">
        <v>237</v>
      </c>
      <c r="Q1410">
        <v>71</v>
      </c>
      <c r="R1410" t="s">
        <v>0</v>
      </c>
      <c r="S1410" t="s">
        <v>0</v>
      </c>
      <c r="T1410" t="s">
        <v>0</v>
      </c>
    </row>
    <row r="1411" spans="1:20" x14ac:dyDescent="0.25">
      <c r="A1411">
        <v>21300117</v>
      </c>
      <c r="B1411" t="s">
        <v>4</v>
      </c>
      <c r="C1411" t="s">
        <v>26</v>
      </c>
      <c r="D1411">
        <v>54</v>
      </c>
      <c r="E1411">
        <v>42</v>
      </c>
      <c r="F1411">
        <v>12</v>
      </c>
      <c r="G1411">
        <v>3</v>
      </c>
      <c r="H1411" s="1">
        <v>7.6273148148148151E-3</v>
      </c>
      <c r="I1411">
        <v>2013</v>
      </c>
      <c r="J1411" t="s">
        <v>7</v>
      </c>
      <c r="K1411" s="2" t="str">
        <f>HYPERLINK("https://www.nba.com/stats/events?CFID=&amp;CFPARAMS=&amp;GameEventID=238&amp;GameID=0021300117&amp;Season=2013-14&amp;flag=1&amp;title=Splitter%201'%20Reverse%20Layup%20(12%20PTS)%20(Leonard%201%20AST)", "Splitter 1' Reverse Layup (12 PTS) (Leonard 1 AST)")</f>
        <v>Splitter 1' Reverse Layup (12 PTS) (Leonard 1 AST)</v>
      </c>
      <c r="L1411" s="2" t="str">
        <f>HYPERLINK("https://www.nba.com/game/...-vs-...-0021300117/play-by-play?watchFullGame=true", "SAS vs WAS - Q3 10:59.00")</f>
        <v>SAS vs WAS - Q3 10:59.00</v>
      </c>
      <c r="M1411">
        <v>1</v>
      </c>
      <c r="N1411">
        <v>-7</v>
      </c>
      <c r="O1411">
        <v>-2</v>
      </c>
      <c r="P1411">
        <v>-7</v>
      </c>
      <c r="Q1411">
        <v>-2</v>
      </c>
      <c r="R1411" t="s">
        <v>0</v>
      </c>
      <c r="S1411" t="s">
        <v>0</v>
      </c>
      <c r="T1411" t="s">
        <v>0</v>
      </c>
    </row>
    <row r="1412" spans="1:20" x14ac:dyDescent="0.25">
      <c r="A1412">
        <v>21300296</v>
      </c>
      <c r="B1412" t="s">
        <v>10</v>
      </c>
      <c r="C1412" t="s">
        <v>9</v>
      </c>
      <c r="D1412">
        <v>59</v>
      </c>
      <c r="E1412">
        <v>73</v>
      </c>
      <c r="F1412">
        <v>14</v>
      </c>
      <c r="G1412">
        <v>3</v>
      </c>
      <c r="H1412" s="1">
        <v>3.2291666666666666E-3</v>
      </c>
      <c r="I1412">
        <v>2013</v>
      </c>
      <c r="J1412" t="s">
        <v>7</v>
      </c>
      <c r="K1412" s="2" t="str">
        <f>HYPERLINK("https://www.nba.com/stats/events?CFID=&amp;CFPARAMS=&amp;GameEventID=263&amp;GameID=0021300296&amp;Season=2013-14&amp;flag=1&amp;title=Parker%2025'%203PT%20Jump%20Shot%20(13%20PTS)%20(Leonard%202%20AST)", "Parker 25' 3PT Jump Shot (13 PTS) (Leonard 2 AST)")</f>
        <v>Parker 25' 3PT Jump Shot (13 PTS) (Leonard 2 AST)</v>
      </c>
      <c r="L1412" s="2" t="str">
        <f>HYPERLINK("https://www.nba.com/game/...-vs-...-0021300296/play-by-play?watchFullGame=true", "SAS vs IND - Q3 04:39.00")</f>
        <v>SAS vs IND - Q3 04:39.00</v>
      </c>
      <c r="M1412">
        <v>25</v>
      </c>
      <c r="N1412">
        <v>225</v>
      </c>
      <c r="O1412">
        <v>118</v>
      </c>
      <c r="P1412">
        <v>225</v>
      </c>
      <c r="Q1412">
        <v>118</v>
      </c>
      <c r="R1412" t="s">
        <v>0</v>
      </c>
      <c r="S1412" t="s">
        <v>0</v>
      </c>
      <c r="T1412" t="s">
        <v>0</v>
      </c>
    </row>
    <row r="1413" spans="1:20" x14ac:dyDescent="0.25">
      <c r="A1413">
        <v>21300559</v>
      </c>
      <c r="B1413" t="s">
        <v>4</v>
      </c>
      <c r="C1413" t="s">
        <v>5</v>
      </c>
      <c r="D1413">
        <v>14</v>
      </c>
      <c r="E1413">
        <v>14</v>
      </c>
      <c r="F1413">
        <v>0</v>
      </c>
      <c r="G1413">
        <v>1</v>
      </c>
      <c r="H1413" s="1">
        <v>4.3981481481481484E-3</v>
      </c>
      <c r="I1413">
        <v>2013</v>
      </c>
      <c r="J1413" t="s">
        <v>7</v>
      </c>
      <c r="K1413" s="2" t="str">
        <f>HYPERLINK("https://www.nba.com/stats/events?CFID=&amp;CFPARAMS=&amp;GameEventID=58&amp;GameID=0021300559&amp;Season=2013-14&amp;flag=1&amp;title=Parker%202'%20Layup%20(8%20PTS)%20(Leonard%201%20AST)", "Parker 2' Layup (8 PTS) (Leonard 1 AST)")</f>
        <v>Parker 2' Layup (8 PTS) (Leonard 1 AST)</v>
      </c>
      <c r="L1413" s="2" t="str">
        <f>HYPERLINK("https://www.nba.com/game/...-vs-...-0021300559/play-by-play?watchFullGame=true", "SAS vs NOP - Q1 06:20.00")</f>
        <v>SAS vs NOP - Q1 06:20.00</v>
      </c>
      <c r="M1413">
        <v>2</v>
      </c>
      <c r="N1413">
        <v>18</v>
      </c>
      <c r="O1413">
        <v>11</v>
      </c>
      <c r="P1413">
        <v>18</v>
      </c>
      <c r="Q1413">
        <v>11</v>
      </c>
      <c r="R1413" t="s">
        <v>0</v>
      </c>
      <c r="S1413" t="s">
        <v>0</v>
      </c>
      <c r="T1413" t="s">
        <v>0</v>
      </c>
    </row>
    <row r="1414" spans="1:20" x14ac:dyDescent="0.25">
      <c r="A1414">
        <v>21300604</v>
      </c>
      <c r="B1414" t="s">
        <v>4</v>
      </c>
      <c r="C1414" t="s">
        <v>9</v>
      </c>
      <c r="D1414">
        <v>49</v>
      </c>
      <c r="E1414">
        <v>36</v>
      </c>
      <c r="F1414">
        <v>13</v>
      </c>
      <c r="G1414">
        <v>2</v>
      </c>
      <c r="H1414" s="1">
        <v>1.724537037037037E-3</v>
      </c>
      <c r="I1414">
        <v>2013</v>
      </c>
      <c r="J1414" t="s">
        <v>7</v>
      </c>
      <c r="K1414" s="2" t="str">
        <f>HYPERLINK("https://www.nba.com/stats/events?CFID=&amp;CFPARAMS=&amp;GameEventID=215&amp;GameID=0021300604&amp;Season=2013-14&amp;flag=1&amp;title=Belinelli%2022'%20Jump%20Shot%20(9%20PTS)%20(Leonard%201%20AST)", "Belinelli 22' Jump Shot (9 PTS) (Leonard 1 AST)")</f>
        <v>Belinelli 22' Jump Shot (9 PTS) (Leonard 1 AST)</v>
      </c>
      <c r="L1414" s="2" t="str">
        <f>HYPERLINK("https://www.nba.com/game/...-vs-...-0021300604/play-by-play?watchFullGame=true", "SAS vs MIL - Q2 02:29.00")</f>
        <v>SAS vs MIL - Q2 02:29.00</v>
      </c>
      <c r="M1414">
        <v>22</v>
      </c>
      <c r="N1414">
        <v>141</v>
      </c>
      <c r="O1414">
        <v>165</v>
      </c>
      <c r="P1414">
        <v>141</v>
      </c>
      <c r="Q1414">
        <v>165</v>
      </c>
      <c r="R1414" t="s">
        <v>0</v>
      </c>
      <c r="S1414" t="s">
        <v>0</v>
      </c>
      <c r="T1414" t="s">
        <v>0</v>
      </c>
    </row>
    <row r="1415" spans="1:20" x14ac:dyDescent="0.25">
      <c r="A1415">
        <v>21301049</v>
      </c>
      <c r="B1415" t="s">
        <v>4</v>
      </c>
      <c r="C1415" t="s">
        <v>5</v>
      </c>
      <c r="D1415">
        <v>66</v>
      </c>
      <c r="E1415">
        <v>78</v>
      </c>
      <c r="F1415">
        <v>12</v>
      </c>
      <c r="G1415">
        <v>4</v>
      </c>
      <c r="H1415" s="1">
        <v>6.145833333333333E-3</v>
      </c>
      <c r="I1415">
        <v>2013</v>
      </c>
      <c r="J1415" t="s">
        <v>12</v>
      </c>
      <c r="K1415" s="2" t="str">
        <f>HYPERLINK("https://www.nba.com/stats/events?CFID=&amp;CFPARAMS=&amp;GameEventID=388&amp;GameID=0021301049&amp;Season=2013-14&amp;flag=1&amp;title=Robinson%202'%20Layup%20(6%20PTS)%20(Leonard%202%20AST)", "Robinson 2' Layup (6 PTS) (Leonard 2 AST)")</f>
        <v>Robinson 2' Layup (6 PTS) (Leonard 2 AST)</v>
      </c>
      <c r="L1415" s="2" t="str">
        <f>HYPERLINK("https://www.nba.com/game/...-vs-...-0021301049/play-by-play?watchFullGame=true", "POR vs MIA - Q4 08:51.00")</f>
        <v>POR vs MIA - Q4 08:51.00</v>
      </c>
      <c r="M1415">
        <v>2</v>
      </c>
      <c r="N1415">
        <v>-10</v>
      </c>
      <c r="O1415">
        <v>14</v>
      </c>
      <c r="P1415">
        <v>-10</v>
      </c>
      <c r="Q1415">
        <v>14</v>
      </c>
      <c r="R1415" t="s">
        <v>0</v>
      </c>
      <c r="S1415" t="s">
        <v>0</v>
      </c>
      <c r="T1415" t="s">
        <v>0</v>
      </c>
    </row>
    <row r="1416" spans="1:20" x14ac:dyDescent="0.25">
      <c r="A1416">
        <v>21301084</v>
      </c>
      <c r="B1416" t="s">
        <v>4</v>
      </c>
      <c r="C1416" t="s">
        <v>9</v>
      </c>
      <c r="D1416">
        <v>4</v>
      </c>
      <c r="E1416">
        <v>2</v>
      </c>
      <c r="F1416">
        <v>2</v>
      </c>
      <c r="G1416">
        <v>1</v>
      </c>
      <c r="H1416" s="1">
        <v>7.0023148148148145E-3</v>
      </c>
      <c r="I1416">
        <v>2013</v>
      </c>
      <c r="J1416" t="s">
        <v>7</v>
      </c>
      <c r="K1416" s="2" t="str">
        <f>HYPERLINK("https://www.nba.com/stats/events?CFID=&amp;CFPARAMS=&amp;GameEventID=13&amp;GameID=0021301084&amp;Season=2013-14&amp;flag=1&amp;title=Duncan%2019'%20Jump%20Shot%20(2%20PTS)%20(Leonard%201%20AST)", "Duncan 19' Jump Shot (2 PTS) (Leonard 1 AST)")</f>
        <v>Duncan 19' Jump Shot (2 PTS) (Leonard 1 AST)</v>
      </c>
      <c r="L1416" s="2" t="str">
        <f>HYPERLINK("https://www.nba.com/game/...-vs-...-0021301084/play-by-play?watchFullGame=true", "SAS vs DEN - Q1 10:05.00")</f>
        <v>SAS vs DEN - Q1 10:05.00</v>
      </c>
      <c r="M1416">
        <v>19</v>
      </c>
      <c r="N1416">
        <v>-152</v>
      </c>
      <c r="O1416">
        <v>118</v>
      </c>
      <c r="P1416">
        <v>-152</v>
      </c>
      <c r="Q1416">
        <v>118</v>
      </c>
      <c r="R1416" t="s">
        <v>0</v>
      </c>
      <c r="S1416" t="s">
        <v>0</v>
      </c>
      <c r="T1416" t="s">
        <v>0</v>
      </c>
    </row>
    <row r="1417" spans="1:20" x14ac:dyDescent="0.25">
      <c r="A1417">
        <v>21301186</v>
      </c>
      <c r="B1417" t="s">
        <v>4</v>
      </c>
      <c r="C1417" t="s">
        <v>9</v>
      </c>
      <c r="D1417">
        <v>63</v>
      </c>
      <c r="E1417">
        <v>72</v>
      </c>
      <c r="F1417">
        <v>9</v>
      </c>
      <c r="G1417">
        <v>3</v>
      </c>
      <c r="H1417" s="1">
        <v>5.3009259259259259E-3</v>
      </c>
      <c r="I1417">
        <v>2013</v>
      </c>
      <c r="J1417" t="s">
        <v>7</v>
      </c>
      <c r="K1417" s="2" t="str">
        <f>HYPERLINK("https://www.nba.com/stats/events?CFID=&amp;CFPARAMS=&amp;GameEventID=295&amp;GameID=0021301186&amp;Season=2013-14&amp;flag=1&amp;title=Parker%2018'%20Jump%20Shot%20(14%20PTS)%20(Leonard%203%20AST)", "Parker 18' Jump Shot (14 PTS) (Leonard 3 AST)")</f>
        <v>Parker 18' Jump Shot (14 PTS) (Leonard 3 AST)</v>
      </c>
      <c r="L1417" s="2" t="str">
        <f>HYPERLINK("https://www.nba.com/game/...-vs-...-0021301186/play-by-play?watchFullGame=true", "SAS vs PHX - Q3 07:38.00")</f>
        <v>SAS vs PHX - Q3 07:38.00</v>
      </c>
      <c r="M1417">
        <v>18</v>
      </c>
      <c r="N1417">
        <v>133</v>
      </c>
      <c r="O1417">
        <v>121</v>
      </c>
      <c r="P1417">
        <v>133</v>
      </c>
      <c r="Q1417">
        <v>121</v>
      </c>
      <c r="R1417" t="s">
        <v>0</v>
      </c>
      <c r="S1417" t="s">
        <v>0</v>
      </c>
      <c r="T1417" t="s">
        <v>0</v>
      </c>
    </row>
    <row r="1418" spans="1:20" x14ac:dyDescent="0.25">
      <c r="A1418">
        <v>21300349</v>
      </c>
      <c r="B1418" t="s">
        <v>4</v>
      </c>
      <c r="C1418" t="s">
        <v>26</v>
      </c>
      <c r="D1418">
        <v>86</v>
      </c>
      <c r="E1418">
        <v>70</v>
      </c>
      <c r="F1418">
        <v>16</v>
      </c>
      <c r="G1418">
        <v>4</v>
      </c>
      <c r="H1418" s="1">
        <v>5.5555555555555558E-3</v>
      </c>
      <c r="I1418">
        <v>2013</v>
      </c>
      <c r="J1418" t="s">
        <v>7</v>
      </c>
      <c r="K1418" s="2" t="str">
        <f>HYPERLINK("https://www.nba.com/stats/events?CFID=&amp;CFPARAMS=&amp;GameEventID=375&amp;GameID=0021300349&amp;Season=2013-14&amp;flag=1&amp;title=Baynes%202'%20Reverse%20Layup%20(9%20PTS)%20(Leonard%202%20AST)", "Baynes 2' Reverse Layup (9 PTS) (Leonard 2 AST)")</f>
        <v>Baynes 2' Reverse Layup (9 PTS) (Leonard 2 AST)</v>
      </c>
      <c r="L1418" s="2" t="str">
        <f>HYPERLINK("https://www.nba.com/game/...-vs-...-0021300349/play-by-play?watchFullGame=true", "SAS vs UTA - Q4 08:00.00")</f>
        <v>SAS vs UTA - Q4 08:00.00</v>
      </c>
      <c r="M1418">
        <v>2</v>
      </c>
      <c r="N1418">
        <v>-15</v>
      </c>
      <c r="O1418">
        <v>4</v>
      </c>
      <c r="P1418">
        <v>-15</v>
      </c>
      <c r="Q1418">
        <v>4</v>
      </c>
      <c r="R1418" t="s">
        <v>0</v>
      </c>
      <c r="S1418" t="s">
        <v>0</v>
      </c>
      <c r="T1418" t="s">
        <v>0</v>
      </c>
    </row>
    <row r="1419" spans="1:20" x14ac:dyDescent="0.25">
      <c r="A1419">
        <v>21300425</v>
      </c>
      <c r="B1419" t="s">
        <v>4</v>
      </c>
      <c r="C1419" t="s">
        <v>19</v>
      </c>
      <c r="D1419">
        <v>100</v>
      </c>
      <c r="E1419">
        <v>85</v>
      </c>
      <c r="F1419">
        <v>15</v>
      </c>
      <c r="G1419">
        <v>4</v>
      </c>
      <c r="H1419" s="1">
        <v>3.9699074074074072E-3</v>
      </c>
      <c r="I1419">
        <v>2013</v>
      </c>
      <c r="J1419" t="s">
        <v>7</v>
      </c>
      <c r="K1419" s="2" t="str">
        <f>HYPERLINK("https://www.nba.com/stats/events?CFID=&amp;CFPARAMS=&amp;GameEventID=536&amp;GameID=0021300425&amp;Season=2013-14&amp;flag=1&amp;title=Parker%2019'%20Pullup%20Jump%20Shot%20(19%20PTS)%20(Leonard%202%20AST)", "Parker 19' Pullup Jump Shot (19 PTS) (Leonard 2 AST)")</f>
        <v>Parker 19' Pullup Jump Shot (19 PTS) (Leonard 2 AST)</v>
      </c>
      <c r="L1419" s="2" t="str">
        <f>HYPERLINK("https://www.nba.com/game/...-vs-...-0021300425/play-by-play?watchFullGame=true", "SAS vs DAL - Q4 05:43.00")</f>
        <v>SAS vs DAL - Q4 05:43.00</v>
      </c>
      <c r="M1419">
        <v>19</v>
      </c>
      <c r="N1419">
        <v>179</v>
      </c>
      <c r="O1419">
        <v>60</v>
      </c>
      <c r="P1419">
        <v>179</v>
      </c>
      <c r="Q1419">
        <v>60</v>
      </c>
      <c r="R1419" t="s">
        <v>0</v>
      </c>
      <c r="S1419" t="s">
        <v>0</v>
      </c>
      <c r="T1419" t="s">
        <v>0</v>
      </c>
    </row>
    <row r="1420" spans="1:20" x14ac:dyDescent="0.25">
      <c r="A1420">
        <v>21300600</v>
      </c>
      <c r="B1420" t="s">
        <v>4</v>
      </c>
      <c r="C1420" t="s">
        <v>9</v>
      </c>
      <c r="D1420">
        <v>111</v>
      </c>
      <c r="E1420">
        <v>73</v>
      </c>
      <c r="F1420">
        <v>38</v>
      </c>
      <c r="G1420">
        <v>4</v>
      </c>
      <c r="H1420" s="1">
        <v>6.7476851851851856E-3</v>
      </c>
      <c r="I1420">
        <v>2013</v>
      </c>
      <c r="J1420" t="s">
        <v>12</v>
      </c>
      <c r="K1420" s="2" t="str">
        <f>HYPERLINK("https://www.nba.com/stats/events?CFID=&amp;CFPARAMS=&amp;GameEventID=488&amp;GameID=0021300600&amp;Season=2013-14&amp;flag=1&amp;title=McCollum%207'%20Jump%20Shot%20(9%20PTS)%20(Leonard%201%20AST)", "McCollum 7' Jump Shot (9 PTS) (Leonard 1 AST)")</f>
        <v>McCollum 7' Jump Shot (9 PTS) (Leonard 1 AST)</v>
      </c>
      <c r="L1420" s="2" t="str">
        <f>HYPERLINK("https://www.nba.com/game/...-vs-...-0021300600/play-by-play?watchFullGame=true", "POR vs DAL - Q4 09:43.00")</f>
        <v>POR vs DAL - Q4 09:43.00</v>
      </c>
      <c r="M1420">
        <v>7</v>
      </c>
      <c r="N1420">
        <v>67</v>
      </c>
      <c r="O1420">
        <v>20</v>
      </c>
      <c r="P1420">
        <v>67</v>
      </c>
      <c r="Q1420">
        <v>20</v>
      </c>
      <c r="R1420" t="s">
        <v>0</v>
      </c>
      <c r="S1420" t="s">
        <v>0</v>
      </c>
      <c r="T1420" t="s">
        <v>0</v>
      </c>
    </row>
    <row r="1421" spans="1:20" x14ac:dyDescent="0.25">
      <c r="A1421">
        <v>21300859</v>
      </c>
      <c r="B1421" t="s">
        <v>4</v>
      </c>
      <c r="C1421" t="s">
        <v>5</v>
      </c>
      <c r="D1421">
        <v>85</v>
      </c>
      <c r="E1421">
        <v>75</v>
      </c>
      <c r="F1421">
        <v>10</v>
      </c>
      <c r="G1421">
        <v>3</v>
      </c>
      <c r="H1421" s="1">
        <v>1.2847222222222223E-3</v>
      </c>
      <c r="I1421">
        <v>2013</v>
      </c>
      <c r="J1421" t="s">
        <v>7</v>
      </c>
      <c r="K1421" s="2" t="str">
        <f>HYPERLINK("https://www.nba.com/stats/events?CFID=&amp;CFPARAMS=&amp;GameEventID=346&amp;GameID=0021300859&amp;Season=2013-14&amp;flag=1&amp;title=Duncan%20%20Layup%20(12%20PTS)%20(Leonard%204%20AST)", "Duncan  Layup (12 PTS) (Leonard 4 AST)")</f>
        <v>Duncan  Layup (12 PTS) (Leonard 4 AST)</v>
      </c>
      <c r="L1421" s="2" t="str">
        <f>HYPERLINK("https://www.nba.com/game/...-vs-...-0021300859/play-by-play?watchFullGame=true", "SAS vs DET - Q3 01:51.00")</f>
        <v>SAS vs DET - Q3 01:51.00</v>
      </c>
      <c r="M1421">
        <v>0</v>
      </c>
      <c r="N1421">
        <v>-2</v>
      </c>
      <c r="O1421">
        <v>4</v>
      </c>
      <c r="P1421">
        <v>-2</v>
      </c>
      <c r="Q1421">
        <v>4</v>
      </c>
      <c r="R1421" t="s">
        <v>0</v>
      </c>
      <c r="S1421" t="s">
        <v>0</v>
      </c>
      <c r="T1421" t="s">
        <v>0</v>
      </c>
    </row>
    <row r="1422" spans="1:20" x14ac:dyDescent="0.25">
      <c r="A1422">
        <v>21301017</v>
      </c>
      <c r="B1422" t="s">
        <v>4</v>
      </c>
      <c r="C1422" t="s">
        <v>17</v>
      </c>
      <c r="D1422">
        <v>20</v>
      </c>
      <c r="E1422">
        <v>13</v>
      </c>
      <c r="F1422">
        <v>7</v>
      </c>
      <c r="G1422">
        <v>1</v>
      </c>
      <c r="H1422" s="1">
        <v>4.3055555555555555E-3</v>
      </c>
      <c r="I1422">
        <v>2013</v>
      </c>
      <c r="J1422" t="s">
        <v>7</v>
      </c>
      <c r="K1422" s="2" t="str">
        <f>HYPERLINK("https://www.nba.com/stats/events?CFID=&amp;CFPARAMS=&amp;GameEventID=50&amp;GameID=0021301017&amp;Season=2013-14&amp;flag=1&amp;title=Green%208'%20Floating%20Jump%20Shot%20(8%20PTS)%20(Leonard%201%20AST)", "Green 8' Floating Jump Shot (8 PTS) (Leonard 1 AST)")</f>
        <v>Green 8' Floating Jump Shot (8 PTS) (Leonard 1 AST)</v>
      </c>
      <c r="L1422" s="2" t="str">
        <f>HYPERLINK("https://www.nba.com/game/...-vs-...-0021301017/play-by-play?watchFullGame=true", "SAS vs LAL - Q1 06:12.00")</f>
        <v>SAS vs LAL - Q1 06:12.00</v>
      </c>
      <c r="M1422">
        <v>8</v>
      </c>
      <c r="N1422">
        <v>37</v>
      </c>
      <c r="O1422">
        <v>74</v>
      </c>
      <c r="P1422">
        <v>37</v>
      </c>
      <c r="Q1422">
        <v>74</v>
      </c>
      <c r="R1422" t="s">
        <v>0</v>
      </c>
      <c r="S1422" t="s">
        <v>0</v>
      </c>
      <c r="T1422" t="s">
        <v>0</v>
      </c>
    </row>
    <row r="1423" spans="1:20" x14ac:dyDescent="0.25">
      <c r="A1423">
        <v>21301049</v>
      </c>
      <c r="B1423" t="s">
        <v>4</v>
      </c>
      <c r="C1423" t="s">
        <v>9</v>
      </c>
      <c r="D1423">
        <v>16</v>
      </c>
      <c r="E1423">
        <v>18</v>
      </c>
      <c r="F1423">
        <v>2</v>
      </c>
      <c r="G1423">
        <v>1</v>
      </c>
      <c r="H1423" s="1">
        <v>1.9097222222222222E-3</v>
      </c>
      <c r="I1423">
        <v>2013</v>
      </c>
      <c r="J1423" t="s">
        <v>12</v>
      </c>
      <c r="K1423" s="2" t="str">
        <f>HYPERLINK("https://www.nba.com/stats/events?CFID=&amp;CFPARAMS=&amp;GameEventID=83&amp;GameID=0021301049&amp;Season=2013-14&amp;flag=1&amp;title=Batum%2015'%20Jump%20Shot%20(5%20PTS)%20(Leonard%201%20AST)", "Batum 15' Jump Shot (5 PTS) (Leonard 1 AST)")</f>
        <v>Batum 15' Jump Shot (5 PTS) (Leonard 1 AST)</v>
      </c>
      <c r="L1423" s="2" t="str">
        <f>HYPERLINK("https://www.nba.com/game/...-vs-...-0021301049/play-by-play?watchFullGame=true", "POR vs MIA - Q1 02:45.00")</f>
        <v>POR vs MIA - Q1 02:45.00</v>
      </c>
      <c r="M1423">
        <v>15</v>
      </c>
      <c r="N1423">
        <v>12</v>
      </c>
      <c r="O1423">
        <v>146</v>
      </c>
      <c r="P1423">
        <v>12</v>
      </c>
      <c r="Q1423">
        <v>146</v>
      </c>
      <c r="R1423" t="s">
        <v>0</v>
      </c>
      <c r="S1423" t="s">
        <v>0</v>
      </c>
      <c r="T1423" t="s">
        <v>0</v>
      </c>
    </row>
    <row r="1424" spans="1:20" x14ac:dyDescent="0.25">
      <c r="A1424">
        <v>21301174</v>
      </c>
      <c r="B1424" t="s">
        <v>10</v>
      </c>
      <c r="C1424" t="s">
        <v>9</v>
      </c>
      <c r="D1424">
        <v>66</v>
      </c>
      <c r="E1424">
        <v>58</v>
      </c>
      <c r="F1424">
        <v>8</v>
      </c>
      <c r="G1424">
        <v>3</v>
      </c>
      <c r="H1424" s="1">
        <v>4.6296296296296294E-3</v>
      </c>
      <c r="I1424">
        <v>2013</v>
      </c>
      <c r="J1424" t="s">
        <v>7</v>
      </c>
      <c r="K1424" s="2" t="str">
        <f>HYPERLINK("https://www.nba.com/stats/events?CFID=&amp;CFPARAMS=&amp;GameEventID=348&amp;GameID=0021301174&amp;Season=2013-14&amp;flag=1&amp;title=Mills%2025'%203PT%20Jump%20Shot%20(21%20PTS)%20(Leonard%205%20AST)", "Mills 25' 3PT Jump Shot (21 PTS) (Leonard 5 AST)")</f>
        <v>Mills 25' 3PT Jump Shot (21 PTS) (Leonard 5 AST)</v>
      </c>
      <c r="L1424" s="2" t="str">
        <f>HYPERLINK("https://www.nba.com/game/...-vs-...-0021301174/play-by-play?watchFullGame=true", "SAS vs DAL - Q3 06:40.00")</f>
        <v>SAS vs DAL - Q3 06:40.00</v>
      </c>
      <c r="M1424">
        <v>25</v>
      </c>
      <c r="N1424">
        <v>-199</v>
      </c>
      <c r="O1424">
        <v>143</v>
      </c>
      <c r="P1424">
        <v>-199</v>
      </c>
      <c r="Q1424">
        <v>143</v>
      </c>
      <c r="R1424" t="s">
        <v>0</v>
      </c>
      <c r="S1424" t="s">
        <v>0</v>
      </c>
      <c r="T1424" t="s">
        <v>0</v>
      </c>
    </row>
    <row r="1425" spans="1:20" x14ac:dyDescent="0.25">
      <c r="A1425">
        <v>21400069</v>
      </c>
      <c r="B1425" t="s">
        <v>4</v>
      </c>
      <c r="C1425" t="s">
        <v>56</v>
      </c>
      <c r="D1425">
        <v>51</v>
      </c>
      <c r="E1425">
        <v>80</v>
      </c>
      <c r="F1425">
        <v>29</v>
      </c>
      <c r="G1425">
        <v>3</v>
      </c>
      <c r="H1425" s="1">
        <v>1.1458333333333333E-3</v>
      </c>
      <c r="I1425">
        <v>2014</v>
      </c>
      <c r="J1425" t="s">
        <v>7</v>
      </c>
      <c r="K1425" s="2" t="str">
        <f>HYPERLINK("https://www.nba.com/stats/events?CFID=&amp;CFPARAMS=&amp;GameEventID=401&amp;GameID=0021400069&amp;Season=2014-15&amp;flag=1&amp;title=Diaw%205'%20Jump%20Hook%20Shot%20(7%20PTS)%20(Leonard%204%20AST)", "Diaw 5' Jump Hook Shot (7 PTS) (Leonard 4 AST)")</f>
        <v>Diaw 5' Jump Hook Shot (7 PTS) (Leonard 4 AST)</v>
      </c>
      <c r="L1425" s="2" t="str">
        <f>HYPERLINK("https://www.nba.com/game/...-vs-...-0021400069/play-by-play?watchFullGame=true", "SAS vs HOU - Q3 01:39.00")</f>
        <v>SAS vs HOU - Q3 01:39.00</v>
      </c>
      <c r="M1425">
        <v>5</v>
      </c>
      <c r="N1425">
        <v>6</v>
      </c>
      <c r="O1425">
        <v>48</v>
      </c>
      <c r="P1425">
        <v>6</v>
      </c>
      <c r="Q1425">
        <v>48</v>
      </c>
      <c r="R1425" t="s">
        <v>0</v>
      </c>
      <c r="S1425" t="s">
        <v>0</v>
      </c>
      <c r="T1425" t="s">
        <v>0</v>
      </c>
    </row>
    <row r="1426" spans="1:20" x14ac:dyDescent="0.25">
      <c r="A1426">
        <v>21300068</v>
      </c>
      <c r="B1426" t="s">
        <v>4</v>
      </c>
      <c r="C1426" t="s">
        <v>5</v>
      </c>
      <c r="D1426">
        <v>25</v>
      </c>
      <c r="E1426">
        <v>15</v>
      </c>
      <c r="F1426">
        <v>10</v>
      </c>
      <c r="G1426">
        <v>1</v>
      </c>
      <c r="H1426" s="1">
        <v>1.8055555555555555E-3</v>
      </c>
      <c r="I1426">
        <v>2013</v>
      </c>
      <c r="J1426" t="s">
        <v>7</v>
      </c>
      <c r="K1426" s="2" t="str">
        <f>HYPERLINK("https://www.nba.com/stats/events?CFID=&amp;CFPARAMS=&amp;GameEventID=82&amp;GameID=0021300068&amp;Season=2013-14&amp;flag=1&amp;title=Splitter%201'%20Layup%20(2%20PTS)%20(Leonard%201%20AST)", "Splitter 1' Layup (2 PTS) (Leonard 1 AST)")</f>
        <v>Splitter 1' Layup (2 PTS) (Leonard 1 AST)</v>
      </c>
      <c r="L1426" s="2" t="str">
        <f>HYPERLINK("https://www.nba.com/game/...-vs-...-0021300068/play-by-play?watchFullGame=true", "SAS vs PHX - Q1 02:36.00")</f>
        <v>SAS vs PHX - Q1 02:36.00</v>
      </c>
      <c r="M1426">
        <v>1</v>
      </c>
      <c r="N1426">
        <v>-5</v>
      </c>
      <c r="O1426">
        <v>7</v>
      </c>
      <c r="P1426">
        <v>-5</v>
      </c>
      <c r="Q1426">
        <v>7</v>
      </c>
      <c r="R1426" t="s">
        <v>0</v>
      </c>
      <c r="S1426" t="s">
        <v>0</v>
      </c>
      <c r="T1426" t="s">
        <v>0</v>
      </c>
    </row>
    <row r="1427" spans="1:20" x14ac:dyDescent="0.25">
      <c r="A1427">
        <v>21300181</v>
      </c>
      <c r="B1427" t="s">
        <v>4</v>
      </c>
      <c r="C1427" t="s">
        <v>26</v>
      </c>
      <c r="D1427">
        <v>36</v>
      </c>
      <c r="E1427">
        <v>27</v>
      </c>
      <c r="F1427">
        <v>9</v>
      </c>
      <c r="G1427">
        <v>2</v>
      </c>
      <c r="H1427" s="1">
        <v>5.0810185185185186E-3</v>
      </c>
      <c r="I1427">
        <v>2013</v>
      </c>
      <c r="J1427" t="s">
        <v>7</v>
      </c>
      <c r="K1427" s="2" t="str">
        <f>HYPERLINK("https://www.nba.com/stats/events?CFID=&amp;CFPARAMS=&amp;GameEventID=144&amp;GameID=0021300181&amp;Season=2013-14&amp;flag=1&amp;title=Mills%203'%20Reverse%20Layup%20(4%20PTS)%20(Leonard%201%20AST)", "Mills 3' Reverse Layup (4 PTS) (Leonard 1 AST)")</f>
        <v>Mills 3' Reverse Layup (4 PTS) (Leonard 1 AST)</v>
      </c>
      <c r="L1427" s="2" t="str">
        <f>HYPERLINK("https://www.nba.com/game/...-vs-...-0021300181/play-by-play?watchFullGame=true", "SAS vs MEM - Q2 07:19.00")</f>
        <v>SAS vs MEM - Q2 07:19.00</v>
      </c>
      <c r="M1427">
        <v>3</v>
      </c>
      <c r="N1427">
        <v>-32</v>
      </c>
      <c r="O1427">
        <v>7</v>
      </c>
      <c r="P1427">
        <v>-32</v>
      </c>
      <c r="Q1427">
        <v>7</v>
      </c>
      <c r="R1427" t="s">
        <v>0</v>
      </c>
      <c r="S1427" t="s">
        <v>0</v>
      </c>
      <c r="T1427" t="s">
        <v>0</v>
      </c>
    </row>
    <row r="1428" spans="1:20" x14ac:dyDescent="0.25">
      <c r="A1428">
        <v>21300258</v>
      </c>
      <c r="B1428" t="s">
        <v>10</v>
      </c>
      <c r="C1428" t="s">
        <v>9</v>
      </c>
      <c r="D1428">
        <v>94</v>
      </c>
      <c r="E1428">
        <v>87</v>
      </c>
      <c r="F1428">
        <v>7</v>
      </c>
      <c r="G1428">
        <v>4</v>
      </c>
      <c r="H1428" s="1">
        <v>2.0023148148148148E-3</v>
      </c>
      <c r="I1428">
        <v>2013</v>
      </c>
      <c r="J1428" t="s">
        <v>7</v>
      </c>
      <c r="K1428" s="2" t="str">
        <f>HYPERLINK("https://www.nba.com/stats/events?CFID=&amp;CFPARAMS=&amp;GameEventID=427&amp;GameID=0021300258&amp;Season=2013-14&amp;flag=1&amp;title=Green%2024'%203PT%20Jump%20Shot%20(3%20PTS)%20(Leonard%201%20AST)", "Green 24' 3PT Jump Shot (3 PTS) (Leonard 1 AST)")</f>
        <v>Green 24' 3PT Jump Shot (3 PTS) (Leonard 1 AST)</v>
      </c>
      <c r="L1428" s="2" t="str">
        <f>HYPERLINK("https://www.nba.com/game/...-vs-...-0021300258/play-by-play?watchFullGame=true", "SAS vs ATL - Q4 02:53.00")</f>
        <v>SAS vs ATL - Q4 02:53.00</v>
      </c>
      <c r="M1428">
        <v>24</v>
      </c>
      <c r="N1428">
        <v>-49</v>
      </c>
      <c r="O1428">
        <v>235</v>
      </c>
      <c r="P1428">
        <v>-49</v>
      </c>
      <c r="Q1428">
        <v>235</v>
      </c>
      <c r="R1428" t="s">
        <v>0</v>
      </c>
      <c r="S1428" t="s">
        <v>0</v>
      </c>
      <c r="T1428" t="s">
        <v>0</v>
      </c>
    </row>
    <row r="1429" spans="1:20" x14ac:dyDescent="0.25">
      <c r="A1429">
        <v>21300378</v>
      </c>
      <c r="B1429" t="s">
        <v>4</v>
      </c>
      <c r="C1429" t="s">
        <v>26</v>
      </c>
      <c r="D1429">
        <v>67</v>
      </c>
      <c r="E1429">
        <v>65</v>
      </c>
      <c r="F1429">
        <v>2</v>
      </c>
      <c r="G1429">
        <v>3</v>
      </c>
      <c r="H1429" s="1">
        <v>6.1805555555555555E-3</v>
      </c>
      <c r="I1429">
        <v>2013</v>
      </c>
      <c r="J1429" t="s">
        <v>7</v>
      </c>
      <c r="K1429" s="2" t="str">
        <f>HYPERLINK("https://www.nba.com/stats/events?CFID=&amp;CFPARAMS=&amp;GameEventID=285&amp;GameID=0021300378&amp;Season=2013-14&amp;flag=1&amp;title=Joseph%201'%20Reverse%20Layup%20(2%20PTS)%20(Leonard%202%20AST)", "Joseph 1' Reverse Layup (2 PTS) (Leonard 2 AST)")</f>
        <v>Joseph 1' Reverse Layup (2 PTS) (Leonard 2 AST)</v>
      </c>
      <c r="L1429" s="2" t="str">
        <f>HYPERLINK("https://www.nba.com/game/...-vs-...-0021300378/play-by-play?watchFullGame=true", "SAS vs PHX - Q3 08:54.00")</f>
        <v>SAS vs PHX - Q3 08:54.00</v>
      </c>
      <c r="M1429">
        <v>1</v>
      </c>
      <c r="N1429">
        <v>-10</v>
      </c>
      <c r="O1429">
        <v>7</v>
      </c>
      <c r="P1429">
        <v>-10</v>
      </c>
      <c r="Q1429">
        <v>7</v>
      </c>
      <c r="R1429" t="s">
        <v>0</v>
      </c>
      <c r="S1429" t="s">
        <v>0</v>
      </c>
      <c r="T1429" t="s">
        <v>0</v>
      </c>
    </row>
    <row r="1430" spans="1:20" x14ac:dyDescent="0.25">
      <c r="A1430">
        <v>21300913</v>
      </c>
      <c r="B1430" t="s">
        <v>4</v>
      </c>
      <c r="C1430" t="s">
        <v>9</v>
      </c>
      <c r="D1430">
        <v>98</v>
      </c>
      <c r="E1430">
        <v>78</v>
      </c>
      <c r="F1430">
        <v>20</v>
      </c>
      <c r="G1430">
        <v>4</v>
      </c>
      <c r="H1430" s="1">
        <v>1.238425925925926E-3</v>
      </c>
      <c r="I1430">
        <v>2013</v>
      </c>
      <c r="J1430" t="s">
        <v>12</v>
      </c>
      <c r="K1430" s="2" t="str">
        <f>HYPERLINK("https://www.nba.com/stats/events?CFID=&amp;CFPARAMS=&amp;GameEventID=490&amp;GameID=0021300913&amp;Season=2013-14&amp;flag=1&amp;title=Barton%2020'%20Jump%20Shot%20(9%20PTS)%20(Leonard%203%20AST)", "Barton 20' Jump Shot (9 PTS) (Leonard 3 AST)")</f>
        <v>Barton 20' Jump Shot (9 PTS) (Leonard 3 AST)</v>
      </c>
      <c r="L1430" s="2" t="str">
        <f>HYPERLINK("https://www.nba.com/game/...-vs-...-0021300913/play-by-play?watchFullGame=true", "POR vs ATL - Q4 01:47.00")</f>
        <v>POR vs ATL - Q4 01:47.00</v>
      </c>
      <c r="M1430">
        <v>20</v>
      </c>
      <c r="N1430">
        <v>-34</v>
      </c>
      <c r="O1430">
        <v>197</v>
      </c>
      <c r="P1430">
        <v>-34</v>
      </c>
      <c r="Q1430">
        <v>197</v>
      </c>
      <c r="R1430" t="s">
        <v>0</v>
      </c>
      <c r="S1430" t="s">
        <v>0</v>
      </c>
      <c r="T1430" t="s">
        <v>0</v>
      </c>
    </row>
    <row r="1431" spans="1:20" x14ac:dyDescent="0.25">
      <c r="A1431">
        <v>21300978</v>
      </c>
      <c r="B1431" t="s">
        <v>10</v>
      </c>
      <c r="C1431" t="s">
        <v>9</v>
      </c>
      <c r="D1431">
        <v>70</v>
      </c>
      <c r="E1431">
        <v>36</v>
      </c>
      <c r="F1431">
        <v>34</v>
      </c>
      <c r="G1431">
        <v>3</v>
      </c>
      <c r="H1431" s="1">
        <v>6.4351851851851853E-3</v>
      </c>
      <c r="I1431">
        <v>2013</v>
      </c>
      <c r="J1431" t="s">
        <v>7</v>
      </c>
      <c r="K1431" s="2" t="str">
        <f>HYPERLINK("https://www.nba.com/stats/events?CFID=&amp;CFPARAMS=&amp;GameEventID=304&amp;GameID=0021300978&amp;Season=2013-14&amp;flag=1&amp;title=Green%2024'%203PT%20Jump%20Shot%20(15%20PTS)%20(Leonard%202%20AST)", "Green 24' 3PT Jump Shot (15 PTS) (Leonard 2 AST)")</f>
        <v>Green 24' 3PT Jump Shot (15 PTS) (Leonard 2 AST)</v>
      </c>
      <c r="L1431" s="2" t="str">
        <f>HYPERLINK("https://www.nba.com/game/...-vs-...-0021300978/play-by-play?watchFullGame=true", "SAS vs LAL - Q3 09:16.00")</f>
        <v>SAS vs LAL - Q3 09:16.00</v>
      </c>
      <c r="M1431">
        <v>24</v>
      </c>
      <c r="N1431">
        <v>64</v>
      </c>
      <c r="O1431">
        <v>235</v>
      </c>
      <c r="P1431">
        <v>64</v>
      </c>
      <c r="Q1431">
        <v>235</v>
      </c>
      <c r="R1431" t="s">
        <v>0</v>
      </c>
      <c r="S1431" t="s">
        <v>0</v>
      </c>
      <c r="T1431" t="s">
        <v>0</v>
      </c>
    </row>
    <row r="1432" spans="1:20" x14ac:dyDescent="0.25">
      <c r="A1432">
        <v>21300993</v>
      </c>
      <c r="B1432" t="s">
        <v>4</v>
      </c>
      <c r="C1432" t="s">
        <v>17</v>
      </c>
      <c r="D1432">
        <v>6</v>
      </c>
      <c r="E1432">
        <v>2</v>
      </c>
      <c r="F1432">
        <v>4</v>
      </c>
      <c r="G1432">
        <v>1</v>
      </c>
      <c r="H1432" s="1">
        <v>6.6782407407407407E-3</v>
      </c>
      <c r="I1432">
        <v>2013</v>
      </c>
      <c r="J1432" t="s">
        <v>7</v>
      </c>
      <c r="K1432" s="2" t="str">
        <f>HYPERLINK("https://www.nba.com/stats/events?CFID=&amp;CFPARAMS=&amp;GameEventID=14&amp;GameID=0021300993&amp;Season=2013-14&amp;flag=1&amp;title=Parker%204'%20Floating%20Jump%20Shot%20(2%20PTS)%20(Leonard%201%20AST)", "Parker 4' Floating Jump Shot (2 PTS) (Leonard 1 AST)")</f>
        <v>Parker 4' Floating Jump Shot (2 PTS) (Leonard 1 AST)</v>
      </c>
      <c r="L1432" s="2" t="str">
        <f>HYPERLINK("https://www.nba.com/game/...-vs-...-0021300993/play-by-play?watchFullGame=true", "SAS vs UTA - Q1 09:37.00")</f>
        <v>SAS vs UTA - Q1 09:37.00</v>
      </c>
      <c r="M1432">
        <v>4</v>
      </c>
      <c r="N1432">
        <v>4</v>
      </c>
      <c r="O1432">
        <v>41</v>
      </c>
      <c r="P1432">
        <v>4</v>
      </c>
      <c r="Q1432">
        <v>41</v>
      </c>
      <c r="R1432" t="s">
        <v>0</v>
      </c>
      <c r="S1432" t="s">
        <v>0</v>
      </c>
      <c r="T1432" t="s">
        <v>0</v>
      </c>
    </row>
    <row r="1433" spans="1:20" x14ac:dyDescent="0.25">
      <c r="A1433">
        <v>21301084</v>
      </c>
      <c r="B1433" t="s">
        <v>4</v>
      </c>
      <c r="C1433" t="s">
        <v>9</v>
      </c>
      <c r="D1433">
        <v>40</v>
      </c>
      <c r="E1433">
        <v>32</v>
      </c>
      <c r="F1433">
        <v>8</v>
      </c>
      <c r="G1433">
        <v>2</v>
      </c>
      <c r="H1433" s="1">
        <v>4.6990740740740743E-3</v>
      </c>
      <c r="I1433">
        <v>2013</v>
      </c>
      <c r="J1433" t="s">
        <v>7</v>
      </c>
      <c r="K1433" s="2" t="str">
        <f>HYPERLINK("https://www.nba.com/stats/events?CFID=&amp;CFPARAMS=&amp;GameEventID=181&amp;GameID=0021301084&amp;Season=2013-14&amp;flag=1&amp;title=Parker%2015'%20Jump%20Shot%20(2%20PTS)%20(Leonard%202%20AST)", "Parker 15' Jump Shot (2 PTS) (Leonard 2 AST)")</f>
        <v>Parker 15' Jump Shot (2 PTS) (Leonard 2 AST)</v>
      </c>
      <c r="L1433" s="2" t="str">
        <f>HYPERLINK("https://www.nba.com/game/...-vs-...-0021301084/play-by-play?watchFullGame=true", "SAS vs DEN - Q2 06:46.00")</f>
        <v>SAS vs DEN - Q2 06:46.00</v>
      </c>
      <c r="M1433">
        <v>15</v>
      </c>
      <c r="N1433">
        <v>67</v>
      </c>
      <c r="O1433">
        <v>131</v>
      </c>
      <c r="P1433">
        <v>67</v>
      </c>
      <c r="Q1433">
        <v>131</v>
      </c>
      <c r="R1433" t="s">
        <v>0</v>
      </c>
      <c r="S1433" t="s">
        <v>0</v>
      </c>
      <c r="T1433" t="s">
        <v>0</v>
      </c>
    </row>
    <row r="1434" spans="1:20" x14ac:dyDescent="0.25">
      <c r="A1434">
        <v>21300338</v>
      </c>
      <c r="B1434" t="s">
        <v>10</v>
      </c>
      <c r="C1434" t="s">
        <v>9</v>
      </c>
      <c r="D1434">
        <v>59</v>
      </c>
      <c r="E1434">
        <v>52</v>
      </c>
      <c r="F1434">
        <v>7</v>
      </c>
      <c r="G1434">
        <v>2</v>
      </c>
      <c r="H1434" s="1">
        <v>3.3333333333333332E-4</v>
      </c>
      <c r="I1434">
        <v>2013</v>
      </c>
      <c r="J1434" t="s">
        <v>7</v>
      </c>
      <c r="K1434" s="2" t="str">
        <f>HYPERLINK("https://www.nba.com/stats/events?CFID=&amp;CFPARAMS=&amp;GameEventID=243&amp;GameID=0021300338&amp;Season=2013-14&amp;flag=1&amp;title=Parker%20%203PT%20Jump%20Shot%20(15%20PTS)%20(Leonard%204%20AST)", "Parker  3PT Jump Shot (15 PTS) (Leonard 4 AST)")</f>
        <v>Parker  3PT Jump Shot (15 PTS) (Leonard 4 AST)</v>
      </c>
      <c r="L1434" s="2" t="str">
        <f>HYPERLINK("https://www.nba.com/game/...-vs-...-0021300338/play-by-play?watchFullGame=true", "SAS vs MIN - Q2 00:28.80")</f>
        <v>SAS vs MIN - Q2 00:28.80</v>
      </c>
      <c r="M1434">
        <v>0</v>
      </c>
      <c r="N1434">
        <v>225</v>
      </c>
      <c r="O1434">
        <v>30</v>
      </c>
      <c r="P1434">
        <v>225</v>
      </c>
      <c r="Q1434">
        <v>30</v>
      </c>
      <c r="R1434" t="s">
        <v>0</v>
      </c>
      <c r="S1434" t="s">
        <v>0</v>
      </c>
      <c r="T1434" t="s">
        <v>0</v>
      </c>
    </row>
    <row r="1435" spans="1:20" x14ac:dyDescent="0.25">
      <c r="A1435">
        <v>21300382</v>
      </c>
      <c r="B1435" t="s">
        <v>4</v>
      </c>
      <c r="C1435" t="s">
        <v>26</v>
      </c>
      <c r="D1435">
        <v>25</v>
      </c>
      <c r="E1435">
        <v>34</v>
      </c>
      <c r="F1435">
        <v>9</v>
      </c>
      <c r="G1435">
        <v>2</v>
      </c>
      <c r="H1435" s="1">
        <v>5.8449074074074072E-3</v>
      </c>
      <c r="I1435">
        <v>2013</v>
      </c>
      <c r="J1435" t="s">
        <v>7</v>
      </c>
      <c r="K1435" s="2" t="str">
        <f>HYPERLINK("https://www.nba.com/stats/events?CFID=&amp;CFPARAMS=&amp;GameEventID=156&amp;GameID=0021300382&amp;Season=2013-14&amp;flag=1&amp;title=Ayres%203'%20Reverse%20Layup%20(2%20PTS)%20(Leonard%202%20AST)", "Ayres 3' Reverse Layup (2 PTS) (Leonard 2 AST)")</f>
        <v>Ayres 3' Reverse Layup (2 PTS) (Leonard 2 AST)</v>
      </c>
      <c r="L1435" s="2" t="str">
        <f>HYPERLINK("https://www.nba.com/game/...-vs-...-0021300382/play-by-play?watchFullGame=true", "SAS vs GSW - Q2 08:25.00")</f>
        <v>SAS vs GSW - Q2 08:25.00</v>
      </c>
      <c r="M1435">
        <v>3</v>
      </c>
      <c r="N1435">
        <v>17</v>
      </c>
      <c r="O1435">
        <v>20</v>
      </c>
      <c r="P1435">
        <v>17</v>
      </c>
      <c r="Q1435">
        <v>20</v>
      </c>
      <c r="R1435" t="s">
        <v>0</v>
      </c>
      <c r="S1435" t="s">
        <v>0</v>
      </c>
      <c r="T1435" t="s">
        <v>0</v>
      </c>
    </row>
    <row r="1436" spans="1:20" x14ac:dyDescent="0.25">
      <c r="A1436">
        <v>21300573</v>
      </c>
      <c r="B1436" t="s">
        <v>10</v>
      </c>
      <c r="C1436" t="s">
        <v>9</v>
      </c>
      <c r="D1436">
        <v>13</v>
      </c>
      <c r="E1436">
        <v>7</v>
      </c>
      <c r="F1436">
        <v>6</v>
      </c>
      <c r="G1436">
        <v>1</v>
      </c>
      <c r="H1436" s="1">
        <v>4.8726851851851848E-3</v>
      </c>
      <c r="I1436">
        <v>2013</v>
      </c>
      <c r="J1436" t="s">
        <v>7</v>
      </c>
      <c r="K1436" s="2" t="str">
        <f>HYPERLINK("https://www.nba.com/stats/events?CFID=&amp;CFPARAMS=&amp;GameEventID=40&amp;GameID=0021300573&amp;Season=2013-14&amp;flag=1&amp;title=Ginobili%2025'%203PT%20Jump%20Shot%20(5%20PTS)%20(Leonard%202%20AST)", "Ginobili 25' 3PT Jump Shot (5 PTS) (Leonard 2 AST)")</f>
        <v>Ginobili 25' 3PT Jump Shot (5 PTS) (Leonard 2 AST)</v>
      </c>
      <c r="L1436" s="2" t="str">
        <f>HYPERLINK("https://www.nba.com/game/...-vs-...-0021300573/play-by-play?watchFullGame=true", "SAS vs UTA - Q1 07:01.00")</f>
        <v>SAS vs UTA - Q1 07:01.00</v>
      </c>
      <c r="M1436">
        <v>25</v>
      </c>
      <c r="N1436">
        <v>133</v>
      </c>
      <c r="O1436">
        <v>211</v>
      </c>
      <c r="P1436">
        <v>133</v>
      </c>
      <c r="Q1436">
        <v>211</v>
      </c>
      <c r="R1436" t="s">
        <v>0</v>
      </c>
      <c r="S1436" t="s">
        <v>0</v>
      </c>
      <c r="T1436" t="s">
        <v>0</v>
      </c>
    </row>
    <row r="1437" spans="1:20" x14ac:dyDescent="0.25">
      <c r="A1437">
        <v>21300898</v>
      </c>
      <c r="B1437" t="s">
        <v>10</v>
      </c>
      <c r="C1437" t="s">
        <v>9</v>
      </c>
      <c r="D1437">
        <v>22</v>
      </c>
      <c r="E1437">
        <v>27</v>
      </c>
      <c r="F1437">
        <v>5</v>
      </c>
      <c r="G1437">
        <v>2</v>
      </c>
      <c r="H1437" s="1">
        <v>6.3657407407407404E-3</v>
      </c>
      <c r="I1437">
        <v>2013</v>
      </c>
      <c r="J1437" t="s">
        <v>7</v>
      </c>
      <c r="K1437" s="2" t="str">
        <f>HYPERLINK("https://www.nba.com/stats/events?CFID=&amp;CFPARAMS=&amp;GameEventID=183&amp;GameID=0021300898&amp;Season=2013-14&amp;flag=1&amp;title=Diaw%2025'%203PT%20Jump%20Shot%20(7%20PTS)%20(Leonard%201%20AST)", "Diaw 25' 3PT Jump Shot (7 PTS) (Leonard 1 AST)")</f>
        <v>Diaw 25' 3PT Jump Shot (7 PTS) (Leonard 1 AST)</v>
      </c>
      <c r="L1437" s="2" t="str">
        <f>HYPERLINK("https://www.nba.com/game/...-vs-...-0021300898/play-by-play?watchFullGame=true", "SAS vs CLE - Q2 09:10.00")</f>
        <v>SAS vs CLE - Q2 09:10.00</v>
      </c>
      <c r="M1437">
        <v>25</v>
      </c>
      <c r="N1437">
        <v>114</v>
      </c>
      <c r="O1437">
        <v>228</v>
      </c>
      <c r="P1437">
        <v>114</v>
      </c>
      <c r="Q1437">
        <v>228</v>
      </c>
      <c r="R1437" t="s">
        <v>0</v>
      </c>
      <c r="S1437" t="s">
        <v>0</v>
      </c>
      <c r="T1437" t="s">
        <v>0</v>
      </c>
    </row>
    <row r="1438" spans="1:20" x14ac:dyDescent="0.25">
      <c r="A1438">
        <v>21301084</v>
      </c>
      <c r="B1438" t="s">
        <v>4</v>
      </c>
      <c r="C1438" t="s">
        <v>9</v>
      </c>
      <c r="D1438">
        <v>66</v>
      </c>
      <c r="E1438">
        <v>43</v>
      </c>
      <c r="F1438">
        <v>23</v>
      </c>
      <c r="G1438">
        <v>3</v>
      </c>
      <c r="H1438" s="1">
        <v>7.4074074074074077E-3</v>
      </c>
      <c r="I1438">
        <v>2013</v>
      </c>
      <c r="J1438" t="s">
        <v>7</v>
      </c>
      <c r="K1438" s="2" t="str">
        <f>HYPERLINK("https://www.nba.com/stats/events?CFID=&amp;CFPARAMS=&amp;GameEventID=272&amp;GameID=0021301084&amp;Season=2013-14&amp;flag=1&amp;title=Belinelli%2017'%20Jump%20Shot%20(22%20PTS)%20(Leonard%205%20AST)", "Belinelli 17' Jump Shot (22 PTS) (Leonard 5 AST)")</f>
        <v>Belinelli 17' Jump Shot (22 PTS) (Leonard 5 AST)</v>
      </c>
      <c r="L1438" s="2" t="str">
        <f>HYPERLINK("https://www.nba.com/game/...-vs-...-0021301084/play-by-play?watchFullGame=true", "SAS vs DEN - Q3 10:40.00")</f>
        <v>SAS vs DEN - Q3 10:40.00</v>
      </c>
      <c r="M1438">
        <v>17</v>
      </c>
      <c r="N1438">
        <v>118</v>
      </c>
      <c r="O1438">
        <v>119</v>
      </c>
      <c r="P1438">
        <v>118</v>
      </c>
      <c r="Q1438">
        <v>119</v>
      </c>
      <c r="R1438" t="s">
        <v>0</v>
      </c>
      <c r="S1438" t="s">
        <v>0</v>
      </c>
      <c r="T1438" t="s">
        <v>0</v>
      </c>
    </row>
    <row r="1439" spans="1:20" x14ac:dyDescent="0.25">
      <c r="A1439">
        <v>21301127</v>
      </c>
      <c r="B1439" t="s">
        <v>10</v>
      </c>
      <c r="C1439" t="s">
        <v>9</v>
      </c>
      <c r="D1439">
        <v>8</v>
      </c>
      <c r="E1439">
        <v>6</v>
      </c>
      <c r="F1439">
        <v>2</v>
      </c>
      <c r="G1439">
        <v>1</v>
      </c>
      <c r="H1439" s="1">
        <v>6.0185185185185185E-3</v>
      </c>
      <c r="I1439">
        <v>2013</v>
      </c>
      <c r="J1439" t="s">
        <v>7</v>
      </c>
      <c r="K1439" s="2" t="str">
        <f>HYPERLINK("https://www.nba.com/stats/events?CFID=&amp;CFPARAMS=&amp;GameEventID=40&amp;GameID=0021301127&amp;Season=2013-14&amp;flag=1&amp;title=Green%20%203PT%20Jump%20Shot%20(4%20PTS)%20(Leonard%201%20AST)", "Green  3PT Jump Shot (4 PTS) (Leonard 1 AST)")</f>
        <v>Green  3PT Jump Shot (4 PTS) (Leonard 1 AST)</v>
      </c>
      <c r="L1439" s="2" t="str">
        <f>HYPERLINK("https://www.nba.com/game/...-vs-...-0021301127/play-by-play?watchFullGame=true", "SAS vs OKC - Q1 08:40.00")</f>
        <v>SAS vs OKC - Q1 08:40.00</v>
      </c>
      <c r="M1439">
        <v>0</v>
      </c>
      <c r="N1439">
        <v>-229</v>
      </c>
      <c r="O1439">
        <v>22</v>
      </c>
      <c r="P1439">
        <v>-229</v>
      </c>
      <c r="Q1439">
        <v>22</v>
      </c>
      <c r="R1439" t="s">
        <v>0</v>
      </c>
      <c r="S1439" t="s">
        <v>0</v>
      </c>
      <c r="T1439" t="s">
        <v>0</v>
      </c>
    </row>
    <row r="1440" spans="1:20" x14ac:dyDescent="0.25">
      <c r="A1440">
        <v>21301154</v>
      </c>
      <c r="B1440" t="s">
        <v>4</v>
      </c>
      <c r="C1440" t="s">
        <v>9</v>
      </c>
      <c r="D1440">
        <v>6</v>
      </c>
      <c r="E1440">
        <v>4</v>
      </c>
      <c r="F1440">
        <v>2</v>
      </c>
      <c r="G1440">
        <v>1</v>
      </c>
      <c r="H1440" s="1">
        <v>6.0879629629629626E-3</v>
      </c>
      <c r="I1440">
        <v>2013</v>
      </c>
      <c r="J1440" t="s">
        <v>7</v>
      </c>
      <c r="K1440" s="2" t="str">
        <f>HYPERLINK("https://www.nba.com/stats/events?CFID=&amp;CFPARAMS=&amp;GameEventID=17&amp;GameID=0021301154&amp;Season=2013-14&amp;flag=1&amp;title=Parker%2021'%20Jump%20Shot%20(4%20PTS)%20(Leonard%201%20AST)", "Parker 21' Jump Shot (4 PTS) (Leonard 1 AST)")</f>
        <v>Parker 21' Jump Shot (4 PTS) (Leonard 1 AST)</v>
      </c>
      <c r="L1440" s="2" t="str">
        <f>HYPERLINK("https://www.nba.com/game/...-vs-...-0021301154/play-by-play?watchFullGame=true", "SAS vs MEM - Q1 08:46.00")</f>
        <v>SAS vs MEM - Q1 08:46.00</v>
      </c>
      <c r="M1440">
        <v>21</v>
      </c>
      <c r="N1440">
        <v>-207</v>
      </c>
      <c r="O1440">
        <v>-8</v>
      </c>
      <c r="P1440">
        <v>-207</v>
      </c>
      <c r="Q1440">
        <v>-8</v>
      </c>
      <c r="R1440" t="s">
        <v>0</v>
      </c>
      <c r="S1440" t="s">
        <v>0</v>
      </c>
      <c r="T1440" t="s">
        <v>0</v>
      </c>
    </row>
    <row r="1441" spans="1:20" x14ac:dyDescent="0.25">
      <c r="A1441">
        <v>21400231</v>
      </c>
      <c r="B1441" t="s">
        <v>10</v>
      </c>
      <c r="C1441" t="s">
        <v>9</v>
      </c>
      <c r="D1441">
        <v>72</v>
      </c>
      <c r="E1441">
        <v>59</v>
      </c>
      <c r="F1441">
        <v>13</v>
      </c>
      <c r="G1441">
        <v>3</v>
      </c>
      <c r="H1441" s="1">
        <v>6.4236111111111108E-3</v>
      </c>
      <c r="I1441">
        <v>2014</v>
      </c>
      <c r="J1441" t="s">
        <v>7</v>
      </c>
      <c r="K1441" s="2" t="str">
        <f>HYPERLINK("https://www.nba.com/stats/events?CFID=&amp;CFPARAMS=&amp;GameEventID=291&amp;GameID=0021400231&amp;Season=2014-15&amp;flag=1&amp;title=Green%2024'%203PT%20Jump%20Shot%20(11%20PTS)%20(Leonard%201%20AST)", "Green 24' 3PT Jump Shot (11 PTS) (Leonard 1 AST)")</f>
        <v>Green 24' 3PT Jump Shot (11 PTS) (Leonard 1 AST)</v>
      </c>
      <c r="L1441" s="2" t="str">
        <f>HYPERLINK("https://www.nba.com/game/...-vs-...-0021400231/play-by-play?watchFullGame=true", "SAS vs SAC - Q3 09:15.00")</f>
        <v>SAS vs SAC - Q3 09:15.00</v>
      </c>
      <c r="M1441">
        <v>24</v>
      </c>
      <c r="N1441">
        <v>226</v>
      </c>
      <c r="O1441">
        <v>66</v>
      </c>
      <c r="P1441">
        <v>226</v>
      </c>
      <c r="Q1441">
        <v>66</v>
      </c>
      <c r="R1441" t="s">
        <v>0</v>
      </c>
      <c r="S1441" t="s">
        <v>0</v>
      </c>
      <c r="T1441" t="s">
        <v>0</v>
      </c>
    </row>
    <row r="1442" spans="1:20" x14ac:dyDescent="0.25">
      <c r="A1442">
        <v>21300039</v>
      </c>
      <c r="B1442" t="s">
        <v>10</v>
      </c>
      <c r="C1442" t="s">
        <v>9</v>
      </c>
      <c r="D1442">
        <v>29</v>
      </c>
      <c r="E1442">
        <v>32</v>
      </c>
      <c r="F1442">
        <v>3</v>
      </c>
      <c r="G1442">
        <v>2</v>
      </c>
      <c r="H1442" s="1">
        <v>5.3125000000000004E-3</v>
      </c>
      <c r="I1442">
        <v>2013</v>
      </c>
      <c r="J1442" t="s">
        <v>7</v>
      </c>
      <c r="K1442" s="2" t="str">
        <f>HYPERLINK("https://www.nba.com/stats/events?CFID=&amp;CFPARAMS=&amp;GameEventID=170&amp;GameID=0021300039&amp;Season=2013-14&amp;flag=1&amp;title=Diaw%2024'%203PT%20Jump%20Shot%20(7%20PTS)%20(Leonard%201%20AST)", "Diaw 24' 3PT Jump Shot (7 PTS) (Leonard 1 AST)")</f>
        <v>Diaw 24' 3PT Jump Shot (7 PTS) (Leonard 1 AST)</v>
      </c>
      <c r="L1442" s="2" t="str">
        <f>HYPERLINK("https://www.nba.com/game/...-vs-...-0021300039/play-by-play?watchFullGame=true", "SAS vs POR - Q2 07:39.00")</f>
        <v>SAS vs POR - Q2 07:39.00</v>
      </c>
      <c r="M1442">
        <v>24</v>
      </c>
      <c r="N1442">
        <v>4</v>
      </c>
      <c r="O1442">
        <v>244</v>
      </c>
      <c r="P1442">
        <v>4</v>
      </c>
      <c r="Q1442">
        <v>244</v>
      </c>
      <c r="R1442" t="s">
        <v>0</v>
      </c>
      <c r="S1442" t="s">
        <v>0</v>
      </c>
      <c r="T1442" t="s">
        <v>0</v>
      </c>
    </row>
    <row r="1443" spans="1:20" x14ac:dyDescent="0.25">
      <c r="A1443">
        <v>21300057</v>
      </c>
      <c r="B1443" t="s">
        <v>4</v>
      </c>
      <c r="C1443" t="s">
        <v>9</v>
      </c>
      <c r="D1443">
        <v>2</v>
      </c>
      <c r="E1443">
        <v>0</v>
      </c>
      <c r="F1443">
        <v>2</v>
      </c>
      <c r="G1443">
        <v>1</v>
      </c>
      <c r="H1443" s="1">
        <v>8.0208333333333329E-3</v>
      </c>
      <c r="I1443">
        <v>2013</v>
      </c>
      <c r="J1443" t="s">
        <v>7</v>
      </c>
      <c r="K1443" s="2" t="str">
        <f>HYPERLINK("https://www.nba.com/stats/events?CFID=&amp;CFPARAMS=&amp;GameEventID=2&amp;GameID=0021300057&amp;Season=2013-14&amp;flag=1&amp;title=Duncan%2015'%20Jump%20Shot%20(2%20PTS)%20(Leonard%201%20AST)", "Duncan 15' Jump Shot (2 PTS) (Leonard 1 AST)")</f>
        <v>Duncan 15' Jump Shot (2 PTS) (Leonard 1 AST)</v>
      </c>
      <c r="L1443" s="2" t="str">
        <f>HYPERLINK("https://www.nba.com/game/...-vs-...-0021300057/play-by-play?watchFullGame=true", "SAS vs DEN - Q1 11:33.00")</f>
        <v>SAS vs DEN - Q1 11:33.00</v>
      </c>
      <c r="M1443">
        <v>15</v>
      </c>
      <c r="N1443">
        <v>50</v>
      </c>
      <c r="O1443">
        <v>138</v>
      </c>
      <c r="P1443">
        <v>50</v>
      </c>
      <c r="Q1443">
        <v>138</v>
      </c>
      <c r="R1443" t="s">
        <v>0</v>
      </c>
      <c r="S1443" t="s">
        <v>0</v>
      </c>
      <c r="T1443" t="s">
        <v>0</v>
      </c>
    </row>
    <row r="1444" spans="1:20" x14ac:dyDescent="0.25">
      <c r="A1444">
        <v>21300100</v>
      </c>
      <c r="B1444" t="s">
        <v>10</v>
      </c>
      <c r="C1444" t="s">
        <v>9</v>
      </c>
      <c r="D1444">
        <v>86</v>
      </c>
      <c r="E1444">
        <v>64</v>
      </c>
      <c r="F1444">
        <v>22</v>
      </c>
      <c r="G1444">
        <v>4</v>
      </c>
      <c r="H1444" s="1">
        <v>8.1134259259259267E-3</v>
      </c>
      <c r="I1444">
        <v>2013</v>
      </c>
      <c r="J1444" t="s">
        <v>7</v>
      </c>
      <c r="K1444" s="2" t="str">
        <f>HYPERLINK("https://www.nba.com/stats/events?CFID=&amp;CFPARAMS=&amp;GameEventID=335&amp;GameID=0021300100&amp;Season=2013-14&amp;flag=1&amp;title=Mills%20%203PT%20Jump%20Shot%20(8%20PTS)%20(Leonard%202%20AST)", "Mills  3PT Jump Shot (8 PTS) (Leonard 2 AST)")</f>
        <v>Mills  3PT Jump Shot (8 PTS) (Leonard 2 AST)</v>
      </c>
      <c r="L1444" s="2" t="str">
        <f>HYPERLINK("https://www.nba.com/game/...-vs-...-0021300100/play-by-play?watchFullGame=true", "SAS vs PHI - Q4 11:41.00")</f>
        <v>SAS vs PHI - Q4 11:41.00</v>
      </c>
      <c r="M1444">
        <v>0</v>
      </c>
      <c r="N1444">
        <v>-234</v>
      </c>
      <c r="O1444">
        <v>0</v>
      </c>
      <c r="P1444">
        <v>-234</v>
      </c>
      <c r="Q1444">
        <v>0</v>
      </c>
      <c r="R1444" t="s">
        <v>0</v>
      </c>
      <c r="S1444" t="s">
        <v>0</v>
      </c>
      <c r="T1444" t="s">
        <v>0</v>
      </c>
    </row>
    <row r="1445" spans="1:20" x14ac:dyDescent="0.25">
      <c r="A1445">
        <v>21300338</v>
      </c>
      <c r="B1445" t="s">
        <v>4</v>
      </c>
      <c r="C1445" t="s">
        <v>28</v>
      </c>
      <c r="D1445">
        <v>56</v>
      </c>
      <c r="E1445">
        <v>49</v>
      </c>
      <c r="F1445">
        <v>7</v>
      </c>
      <c r="G1445">
        <v>2</v>
      </c>
      <c r="H1445" s="1">
        <v>6.9444444444444447E-4</v>
      </c>
      <c r="I1445">
        <v>2013</v>
      </c>
      <c r="J1445" t="s">
        <v>7</v>
      </c>
      <c r="K1445" s="2" t="str">
        <f>HYPERLINK("https://www.nba.com/stats/events?CFID=&amp;CFPARAMS=&amp;GameEventID=241&amp;GameID=0021300338&amp;Season=2013-14&amp;flag=1&amp;title=Duncan%201'%20Driving%20Finger%20Roll%20Layup%20(8%20PTS)%20(Leonard%203%20AST)", "Duncan 1' Driving Finger Roll Layup (8 PTS) (Leonard 3 AST)")</f>
        <v>Duncan 1' Driving Finger Roll Layup (8 PTS) (Leonard 3 AST)</v>
      </c>
      <c r="L1445" s="2" t="str">
        <f>HYPERLINK("https://www.nba.com/game/...-vs-...-0021300338/play-by-play?watchFullGame=true", "SAS vs MIN - Q2 01:00.00")</f>
        <v>SAS vs MIN - Q2 01:00.00</v>
      </c>
      <c r="M1445">
        <v>1</v>
      </c>
      <c r="N1445">
        <v>1</v>
      </c>
      <c r="O1445">
        <v>9</v>
      </c>
      <c r="P1445">
        <v>1</v>
      </c>
      <c r="Q1445">
        <v>9</v>
      </c>
      <c r="R1445" t="s">
        <v>0</v>
      </c>
      <c r="S1445" t="s">
        <v>0</v>
      </c>
      <c r="T1445" t="s">
        <v>0</v>
      </c>
    </row>
    <row r="1446" spans="1:20" x14ac:dyDescent="0.25">
      <c r="A1446">
        <v>21300363</v>
      </c>
      <c r="B1446" t="s">
        <v>4</v>
      </c>
      <c r="C1446" t="s">
        <v>26</v>
      </c>
      <c r="D1446">
        <v>56</v>
      </c>
      <c r="E1446">
        <v>59</v>
      </c>
      <c r="F1446">
        <v>3</v>
      </c>
      <c r="G1446">
        <v>3</v>
      </c>
      <c r="H1446" s="1">
        <v>6.3773148148148148E-3</v>
      </c>
      <c r="I1446">
        <v>2013</v>
      </c>
      <c r="J1446" t="s">
        <v>7</v>
      </c>
      <c r="K1446" s="2" t="str">
        <f>HYPERLINK("https://www.nba.com/stats/events?CFID=&amp;CFPARAMS=&amp;GameEventID=289&amp;GameID=0021300363&amp;Season=2013-14&amp;flag=1&amp;title=Splitter%202'%20Reverse%20Layup%20(2%20PTS)%20(Leonard%201%20AST)", "Splitter 2' Reverse Layup (2 PTS) (Leonard 1 AST)")</f>
        <v>Splitter 2' Reverse Layup (2 PTS) (Leonard 1 AST)</v>
      </c>
      <c r="L1446" s="2" t="str">
        <f>HYPERLINK("https://www.nba.com/game/...-vs-...-0021300363/play-by-play?watchFullGame=true", "SAS vs LAC - Q3 09:11.00")</f>
        <v>SAS vs LAC - Q3 09:11.00</v>
      </c>
      <c r="M1446">
        <v>2</v>
      </c>
      <c r="N1446">
        <v>20</v>
      </c>
      <c r="O1446">
        <v>-5</v>
      </c>
      <c r="P1446">
        <v>20</v>
      </c>
      <c r="Q1446">
        <v>-5</v>
      </c>
      <c r="R1446" t="s">
        <v>0</v>
      </c>
      <c r="S1446" t="s">
        <v>0</v>
      </c>
      <c r="T1446" t="s">
        <v>0</v>
      </c>
    </row>
    <row r="1447" spans="1:20" x14ac:dyDescent="0.25">
      <c r="A1447">
        <v>21300378</v>
      </c>
      <c r="B1447" t="s">
        <v>4</v>
      </c>
      <c r="C1447" t="s">
        <v>38</v>
      </c>
      <c r="D1447">
        <v>21</v>
      </c>
      <c r="E1447">
        <v>29</v>
      </c>
      <c r="F1447">
        <v>8</v>
      </c>
      <c r="G1447">
        <v>1</v>
      </c>
      <c r="H1447" s="1">
        <v>1.8518518518518519E-3</v>
      </c>
      <c r="I1447">
        <v>2013</v>
      </c>
      <c r="J1447" t="s">
        <v>7</v>
      </c>
      <c r="K1447" s="2" t="str">
        <f>HYPERLINK("https://www.nba.com/stats/events?CFID=&amp;CFPARAMS=&amp;GameEventID=93&amp;GameID=0021300378&amp;Season=2013-14&amp;flag=1&amp;title=Ayres%201'%20Dunk%20(2%20PTS)%20(Leonard%201%20AST)", "Ayres 1' Dunk (2 PTS) (Leonard 1 AST)")</f>
        <v>Ayres 1' Dunk (2 PTS) (Leonard 1 AST)</v>
      </c>
      <c r="L1447" s="2" t="str">
        <f>HYPERLINK("https://www.nba.com/game/...-vs-...-0021300378/play-by-play?watchFullGame=true", "SAS vs PHX - Q1 02:40.00")</f>
        <v>SAS vs PHX - Q1 02:40.00</v>
      </c>
      <c r="M1447">
        <v>1</v>
      </c>
      <c r="N1447">
        <v>4</v>
      </c>
      <c r="O1447">
        <v>-6</v>
      </c>
      <c r="P1447">
        <v>4</v>
      </c>
      <c r="Q1447">
        <v>-6</v>
      </c>
      <c r="R1447" t="s">
        <v>0</v>
      </c>
      <c r="S1447" t="s">
        <v>0</v>
      </c>
      <c r="T1447" t="s">
        <v>0</v>
      </c>
    </row>
    <row r="1448" spans="1:20" x14ac:dyDescent="0.25">
      <c r="A1448">
        <v>21300426</v>
      </c>
      <c r="B1448" t="s">
        <v>4</v>
      </c>
      <c r="C1448" t="s">
        <v>14</v>
      </c>
      <c r="D1448">
        <v>26</v>
      </c>
      <c r="E1448">
        <v>16</v>
      </c>
      <c r="F1448">
        <v>10</v>
      </c>
      <c r="G1448">
        <v>2</v>
      </c>
      <c r="H1448" s="1">
        <v>6.5624999999999998E-3</v>
      </c>
      <c r="I1448">
        <v>2013</v>
      </c>
      <c r="J1448" t="s">
        <v>12</v>
      </c>
      <c r="K1448" s="2" t="str">
        <f>HYPERLINK("https://www.nba.com/stats/events?CFID=&amp;CFPARAMS=&amp;GameEventID=145&amp;GameID=0021300426&amp;Season=2013-14&amp;flag=1&amp;title=Lillard%2022'%20Step%20Back%20Jump%20Shot%20(3%20PTS)%20(Leonard%201%20AST)", "Lillard 22' Step Back Jump Shot (3 PTS) (Leonard 1 AST)")</f>
        <v>Lillard 22' Step Back Jump Shot (3 PTS) (Leonard 1 AST)</v>
      </c>
      <c r="L1448" s="2" t="str">
        <f>HYPERLINK("https://www.nba.com/game/...-vs-...-0021300426/play-by-play?watchFullGame=true", "POR vs LAC - Q2 09:27.00")</f>
        <v>POR vs LAC - Q2 09:27.00</v>
      </c>
      <c r="M1448">
        <v>22</v>
      </c>
      <c r="N1448">
        <v>141</v>
      </c>
      <c r="O1448">
        <v>165</v>
      </c>
      <c r="P1448">
        <v>141</v>
      </c>
      <c r="Q1448">
        <v>165</v>
      </c>
      <c r="R1448" t="s">
        <v>0</v>
      </c>
      <c r="S1448" t="s">
        <v>0</v>
      </c>
      <c r="T1448" t="s">
        <v>0</v>
      </c>
    </row>
    <row r="1449" spans="1:20" x14ac:dyDescent="0.25">
      <c r="A1449">
        <v>21300477</v>
      </c>
      <c r="B1449" t="s">
        <v>4</v>
      </c>
      <c r="C1449" t="s">
        <v>5</v>
      </c>
      <c r="D1449">
        <v>45</v>
      </c>
      <c r="E1449">
        <v>44</v>
      </c>
      <c r="F1449">
        <v>1</v>
      </c>
      <c r="G1449">
        <v>2</v>
      </c>
      <c r="H1449" s="1">
        <v>1.8518518518518519E-3</v>
      </c>
      <c r="I1449">
        <v>2013</v>
      </c>
      <c r="J1449" t="s">
        <v>7</v>
      </c>
      <c r="K1449" s="2" t="str">
        <f>HYPERLINK("https://www.nba.com/stats/events?CFID=&amp;CFPARAMS=&amp;GameEventID=175&amp;GameID=0021300477&amp;Season=2013-14&amp;flag=1&amp;title=Duncan%202'%20Layup%20(4%20PTS)%20(Leonard%203%20AST)", "Duncan 2' Layup (4 PTS) (Leonard 3 AST)")</f>
        <v>Duncan 2' Layup (4 PTS) (Leonard 3 AST)</v>
      </c>
      <c r="L1449" s="2" t="str">
        <f>HYPERLINK("https://www.nba.com/game/...-vs-...-0021300477/play-by-play?watchFullGame=true", "SAS vs NYK - Q2 02:40.00")</f>
        <v>SAS vs NYK - Q2 02:40.00</v>
      </c>
      <c r="M1449">
        <v>2</v>
      </c>
      <c r="N1449">
        <v>-16</v>
      </c>
      <c r="O1449">
        <v>-6</v>
      </c>
      <c r="P1449">
        <v>-16</v>
      </c>
      <c r="Q1449">
        <v>-6</v>
      </c>
      <c r="R1449" t="s">
        <v>0</v>
      </c>
      <c r="S1449" t="s">
        <v>0</v>
      </c>
      <c r="T1449" t="s">
        <v>0</v>
      </c>
    </row>
    <row r="1450" spans="1:20" x14ac:dyDescent="0.25">
      <c r="A1450">
        <v>21300082</v>
      </c>
      <c r="B1450" t="s">
        <v>4</v>
      </c>
      <c r="C1450" t="s">
        <v>5</v>
      </c>
      <c r="D1450">
        <v>11</v>
      </c>
      <c r="E1450">
        <v>8</v>
      </c>
      <c r="F1450">
        <v>3</v>
      </c>
      <c r="G1450">
        <v>1</v>
      </c>
      <c r="H1450" s="1">
        <v>5.6597222222222222E-3</v>
      </c>
      <c r="I1450">
        <v>2013</v>
      </c>
      <c r="J1450" t="s">
        <v>7</v>
      </c>
      <c r="K1450" s="2" t="str">
        <f>HYPERLINK("https://www.nba.com/stats/events?CFID=&amp;CFPARAMS=&amp;GameEventID=21&amp;GameID=0021300082&amp;Season=2013-14&amp;flag=1&amp;title=Parker%201'%20Layup%20(4%20PTS)%20(Leonard%202%20AST)", "Parker 1' Layup (4 PTS) (Leonard 2 AST)")</f>
        <v>Parker 1' Layup (4 PTS) (Leonard 2 AST)</v>
      </c>
      <c r="L1450" s="2" t="str">
        <f>HYPERLINK("https://www.nba.com/game/...-vs-...-0021300082/play-by-play?watchFullGame=true", "SAS vs GSW - Q1 08:09.00")</f>
        <v>SAS vs GSW - Q1 08:09.00</v>
      </c>
      <c r="M1450">
        <v>1</v>
      </c>
      <c r="N1450">
        <v>-11</v>
      </c>
      <c r="O1450">
        <v>0</v>
      </c>
      <c r="P1450">
        <v>-11</v>
      </c>
      <c r="Q1450">
        <v>0</v>
      </c>
      <c r="R1450" t="s">
        <v>0</v>
      </c>
      <c r="S1450" t="s">
        <v>0</v>
      </c>
      <c r="T1450" t="s">
        <v>0</v>
      </c>
    </row>
    <row r="1451" spans="1:20" x14ac:dyDescent="0.25">
      <c r="A1451">
        <v>21300349</v>
      </c>
      <c r="B1451" t="s">
        <v>10</v>
      </c>
      <c r="C1451" t="s">
        <v>9</v>
      </c>
      <c r="D1451">
        <v>42</v>
      </c>
      <c r="E1451">
        <v>26</v>
      </c>
      <c r="F1451">
        <v>16</v>
      </c>
      <c r="G1451">
        <v>2</v>
      </c>
      <c r="H1451" s="1">
        <v>3.8657407407407408E-3</v>
      </c>
      <c r="I1451">
        <v>2013</v>
      </c>
      <c r="J1451" t="s">
        <v>7</v>
      </c>
      <c r="K1451" s="2" t="str">
        <f>HYPERLINK("https://www.nba.com/stats/events?CFID=&amp;CFPARAMS=&amp;GameEventID=182&amp;GameID=0021300349&amp;Season=2013-14&amp;flag=1&amp;title=Bonner%2026'%203PT%20Jump%20Shot%20(6%20PTS)%20(Leonard%201%20AST)", "Bonner 26' 3PT Jump Shot (6 PTS) (Leonard 1 AST)")</f>
        <v>Bonner 26' 3PT Jump Shot (6 PTS) (Leonard 1 AST)</v>
      </c>
      <c r="L1451" s="2" t="str">
        <f>HYPERLINK("https://www.nba.com/game/...-vs-...-0021300349/play-by-play?watchFullGame=true", "SAS vs UTA - Q2 05:34.00")</f>
        <v>SAS vs UTA - Q2 05:34.00</v>
      </c>
      <c r="M1451">
        <v>26</v>
      </c>
      <c r="N1451">
        <v>-147</v>
      </c>
      <c r="O1451">
        <v>216</v>
      </c>
      <c r="P1451">
        <v>-147</v>
      </c>
      <c r="Q1451">
        <v>216</v>
      </c>
      <c r="R1451" t="s">
        <v>0</v>
      </c>
      <c r="S1451" t="s">
        <v>0</v>
      </c>
      <c r="T1451" t="s">
        <v>0</v>
      </c>
    </row>
    <row r="1452" spans="1:20" x14ac:dyDescent="0.25">
      <c r="A1452">
        <v>21300451</v>
      </c>
      <c r="B1452" t="s">
        <v>4</v>
      </c>
      <c r="C1452" t="s">
        <v>5</v>
      </c>
      <c r="D1452">
        <v>11</v>
      </c>
      <c r="E1452">
        <v>11</v>
      </c>
      <c r="F1452">
        <v>0</v>
      </c>
      <c r="G1452">
        <v>1</v>
      </c>
      <c r="H1452" s="1">
        <v>4.7569444444444447E-3</v>
      </c>
      <c r="I1452">
        <v>2013</v>
      </c>
      <c r="J1452" t="s">
        <v>7</v>
      </c>
      <c r="K1452" s="2" t="str">
        <f>HYPERLINK("https://www.nba.com/stats/events?CFID=&amp;CFPARAMS=&amp;GameEventID=51&amp;GameID=0021300451&amp;Season=2013-14&amp;flag=1&amp;title=Splitter%201'%20Layup%20(5%20PTS)%20(Leonard%202%20AST)", "Splitter 1' Layup (5 PTS) (Leonard 2 AST)")</f>
        <v>Splitter 1' Layup (5 PTS) (Leonard 2 AST)</v>
      </c>
      <c r="L1452" s="2" t="str">
        <f>HYPERLINK("https://www.nba.com/game/...-vs-...-0021300451/play-by-play?watchFullGame=true", "SAS vs SAC - Q1 06:51.00")</f>
        <v>SAS vs SAC - Q1 06:51.00</v>
      </c>
      <c r="M1452">
        <v>1</v>
      </c>
      <c r="N1452">
        <v>9</v>
      </c>
      <c r="O1452">
        <v>1</v>
      </c>
      <c r="P1452">
        <v>9</v>
      </c>
      <c r="Q1452">
        <v>1</v>
      </c>
      <c r="R1452" t="s">
        <v>0</v>
      </c>
      <c r="S1452" t="s">
        <v>0</v>
      </c>
      <c r="T1452" t="s">
        <v>0</v>
      </c>
    </row>
    <row r="1453" spans="1:20" x14ac:dyDescent="0.25">
      <c r="A1453">
        <v>21300480</v>
      </c>
      <c r="B1453" t="s">
        <v>4</v>
      </c>
      <c r="C1453" t="s">
        <v>9</v>
      </c>
      <c r="D1453">
        <v>44</v>
      </c>
      <c r="E1453">
        <v>29</v>
      </c>
      <c r="F1453">
        <v>15</v>
      </c>
      <c r="G1453">
        <v>2</v>
      </c>
      <c r="H1453" s="1">
        <v>6.7939814814814816E-3</v>
      </c>
      <c r="I1453">
        <v>2013</v>
      </c>
      <c r="J1453" t="s">
        <v>12</v>
      </c>
      <c r="K1453" s="2" t="str">
        <f>HYPERLINK("https://www.nba.com/stats/events?CFID=&amp;CFPARAMS=&amp;GameEventID=122&amp;GameID=0021300480&amp;Season=2013-14&amp;flag=1&amp;title=Freeland%2018'%20Jump%20Shot%20(4%20PTS)%20(Leonard%201%20AST)", "Freeland 18' Jump Shot (4 PTS) (Leonard 1 AST)")</f>
        <v>Freeland 18' Jump Shot (4 PTS) (Leonard 1 AST)</v>
      </c>
      <c r="L1453" s="2" t="str">
        <f>HYPERLINK("https://www.nba.com/game/...-vs-...-0021300480/play-by-play?watchFullGame=true", "POR vs CHA - Q2 09:47.00")</f>
        <v>POR vs CHA - Q2 09:47.00</v>
      </c>
      <c r="M1453">
        <v>18</v>
      </c>
      <c r="N1453">
        <v>181</v>
      </c>
      <c r="O1453">
        <v>9</v>
      </c>
      <c r="P1453">
        <v>181</v>
      </c>
      <c r="Q1453">
        <v>9</v>
      </c>
      <c r="R1453" t="s">
        <v>0</v>
      </c>
      <c r="S1453" t="s">
        <v>0</v>
      </c>
      <c r="T1453" t="s">
        <v>0</v>
      </c>
    </row>
    <row r="1454" spans="1:20" x14ac:dyDescent="0.25">
      <c r="A1454">
        <v>21300573</v>
      </c>
      <c r="B1454" t="s">
        <v>4</v>
      </c>
      <c r="C1454" t="s">
        <v>5</v>
      </c>
      <c r="D1454">
        <v>62</v>
      </c>
      <c r="E1454">
        <v>50</v>
      </c>
      <c r="F1454">
        <v>12</v>
      </c>
      <c r="G1454">
        <v>3</v>
      </c>
      <c r="H1454" s="1">
        <v>5.7870370370370367E-3</v>
      </c>
      <c r="I1454">
        <v>2013</v>
      </c>
      <c r="J1454" t="s">
        <v>7</v>
      </c>
      <c r="K1454" s="2" t="str">
        <f>HYPERLINK("https://www.nba.com/stats/events?CFID=&amp;CFPARAMS=&amp;GameEventID=270&amp;GameID=0021300573&amp;Season=2013-14&amp;flag=1&amp;title=Parker%202'%20Layup%20(14%20PTS)%20(Leonard%205%20AST)", "Parker 2' Layup (14 PTS) (Leonard 5 AST)")</f>
        <v>Parker 2' Layup (14 PTS) (Leonard 5 AST)</v>
      </c>
      <c r="L1454" s="2" t="str">
        <f>HYPERLINK("https://www.nba.com/game/...-vs-...-0021300573/play-by-play?watchFullGame=true", "SAS vs UTA - Q3 08:20.00")</f>
        <v>SAS vs UTA - Q3 08:20.00</v>
      </c>
      <c r="M1454">
        <v>2</v>
      </c>
      <c r="N1454">
        <v>13</v>
      </c>
      <c r="O1454">
        <v>12</v>
      </c>
      <c r="P1454">
        <v>13</v>
      </c>
      <c r="Q1454">
        <v>12</v>
      </c>
      <c r="R1454" t="s">
        <v>0</v>
      </c>
      <c r="S1454" t="s">
        <v>0</v>
      </c>
      <c r="T1454" t="s">
        <v>0</v>
      </c>
    </row>
    <row r="1455" spans="1:20" x14ac:dyDescent="0.25">
      <c r="A1455">
        <v>21300871</v>
      </c>
      <c r="B1455" t="s">
        <v>10</v>
      </c>
      <c r="C1455" t="s">
        <v>9</v>
      </c>
      <c r="D1455">
        <v>23</v>
      </c>
      <c r="E1455">
        <v>34</v>
      </c>
      <c r="F1455">
        <v>11</v>
      </c>
      <c r="G1455">
        <v>2</v>
      </c>
      <c r="H1455" s="1">
        <v>5.7175925925925927E-3</v>
      </c>
      <c r="I1455">
        <v>2013</v>
      </c>
      <c r="J1455" t="s">
        <v>7</v>
      </c>
      <c r="K1455" s="2" t="str">
        <f>HYPERLINK("https://www.nba.com/stats/events?CFID=&amp;CFPARAMS=&amp;GameEventID=151&amp;GameID=0021300871&amp;Season=2013-14&amp;flag=1&amp;title=Belinelli%20%203PT%20Jump%20Shot%20(3%20PTS)%20(Leonard%201%20AST)", "Belinelli  3PT Jump Shot (3 PTS) (Leonard 1 AST)")</f>
        <v>Belinelli  3PT Jump Shot (3 PTS) (Leonard 1 AST)</v>
      </c>
      <c r="L1455" s="2" t="str">
        <f>HYPERLINK("https://www.nba.com/game/...-vs-...-0021300871/play-by-play?watchFullGame=true", "SAS vs CHA - Q2 08:14.00")</f>
        <v>SAS vs CHA - Q2 08:14.00</v>
      </c>
      <c r="M1455">
        <v>0</v>
      </c>
      <c r="N1455">
        <v>-229</v>
      </c>
      <c r="O1455">
        <v>45</v>
      </c>
      <c r="P1455">
        <v>-229</v>
      </c>
      <c r="Q1455">
        <v>45</v>
      </c>
      <c r="R1455" t="s">
        <v>0</v>
      </c>
      <c r="S1455" t="s">
        <v>0</v>
      </c>
      <c r="T1455" t="s">
        <v>0</v>
      </c>
    </row>
    <row r="1456" spans="1:20" x14ac:dyDescent="0.25">
      <c r="A1456">
        <v>21301174</v>
      </c>
      <c r="B1456" t="s">
        <v>10</v>
      </c>
      <c r="C1456" t="s">
        <v>9</v>
      </c>
      <c r="D1456">
        <v>35</v>
      </c>
      <c r="E1456">
        <v>38</v>
      </c>
      <c r="F1456">
        <v>3</v>
      </c>
      <c r="G1456">
        <v>2</v>
      </c>
      <c r="H1456" s="1">
        <v>4.5601851851851853E-3</v>
      </c>
      <c r="I1456">
        <v>2013</v>
      </c>
      <c r="J1456" t="s">
        <v>7</v>
      </c>
      <c r="K1456" s="2" t="str">
        <f>HYPERLINK("https://www.nba.com/stats/events?CFID=&amp;CFPARAMS=&amp;GameEventID=189&amp;GameID=0021301174&amp;Season=2013-14&amp;flag=1&amp;title=Mills%20%203PT%20Jump%20Shot%20(5%20PTS)%20(Leonard%203%20AST)", "Mills  3PT Jump Shot (5 PTS) (Leonard 3 AST)")</f>
        <v>Mills  3PT Jump Shot (5 PTS) (Leonard 3 AST)</v>
      </c>
      <c r="L1456" s="2" t="str">
        <f>HYPERLINK("https://www.nba.com/game/...-vs-...-0021301174/play-by-play?watchFullGame=true", "SAS vs DAL - Q2 06:34.00")</f>
        <v>SAS vs DAL - Q2 06:34.00</v>
      </c>
      <c r="M1456">
        <v>0</v>
      </c>
      <c r="N1456">
        <v>228</v>
      </c>
      <c r="O1456">
        <v>7</v>
      </c>
      <c r="P1456">
        <v>228</v>
      </c>
      <c r="Q1456">
        <v>7</v>
      </c>
      <c r="R1456" t="s">
        <v>0</v>
      </c>
      <c r="S1456" t="s">
        <v>0</v>
      </c>
      <c r="T1456" t="s">
        <v>0</v>
      </c>
    </row>
    <row r="1457" spans="1:20" x14ac:dyDescent="0.25">
      <c r="A1457">
        <v>21301186</v>
      </c>
      <c r="B1457" t="s">
        <v>4</v>
      </c>
      <c r="C1457" t="s">
        <v>9</v>
      </c>
      <c r="D1457">
        <v>59</v>
      </c>
      <c r="E1457">
        <v>67</v>
      </c>
      <c r="F1457">
        <v>8</v>
      </c>
      <c r="G1457">
        <v>3</v>
      </c>
      <c r="H1457" s="1">
        <v>6.2847222222222219E-3</v>
      </c>
      <c r="I1457">
        <v>2013</v>
      </c>
      <c r="J1457" t="s">
        <v>7</v>
      </c>
      <c r="K1457" s="2" t="str">
        <f>HYPERLINK("https://www.nba.com/stats/events?CFID=&amp;CFPARAMS=&amp;GameEventID=279&amp;GameID=0021301186&amp;Season=2013-14&amp;flag=1&amp;title=Parker%2015'%20Jump%20Shot%20(10%20PTS)%20(Leonard%202%20AST)", "Parker 15' Jump Shot (10 PTS) (Leonard 2 AST)")</f>
        <v>Parker 15' Jump Shot (10 PTS) (Leonard 2 AST)</v>
      </c>
      <c r="L1457" s="2" t="str">
        <f>HYPERLINK("https://www.nba.com/game/...-vs-...-0021301186/play-by-play?watchFullGame=true", "SAS vs PHX - Q3 09:03.00")</f>
        <v>SAS vs PHX - Q3 09:03.00</v>
      </c>
      <c r="M1457">
        <v>15</v>
      </c>
      <c r="N1457">
        <v>151</v>
      </c>
      <c r="O1457">
        <v>19</v>
      </c>
      <c r="P1457">
        <v>151</v>
      </c>
      <c r="Q1457">
        <v>19</v>
      </c>
      <c r="R1457" t="s">
        <v>0</v>
      </c>
      <c r="S1457" t="s">
        <v>0</v>
      </c>
      <c r="T1457" t="s">
        <v>0</v>
      </c>
    </row>
    <row r="1458" spans="1:20" x14ac:dyDescent="0.25">
      <c r="A1458">
        <v>21800427</v>
      </c>
      <c r="B1458" t="s">
        <v>4</v>
      </c>
      <c r="C1458" t="s">
        <v>31</v>
      </c>
      <c r="D1458">
        <v>34</v>
      </c>
      <c r="E1458">
        <v>27</v>
      </c>
      <c r="F1458">
        <v>7</v>
      </c>
      <c r="G1458">
        <v>2</v>
      </c>
      <c r="H1458" s="1">
        <v>6.9907407407407409E-3</v>
      </c>
      <c r="I1458">
        <v>2018</v>
      </c>
      <c r="J1458" t="s">
        <v>12</v>
      </c>
      <c r="K1458" s="2" t="str">
        <f>HYPERLINK("https://www.nba.com/stats/events?CFID=&amp;CFPARAMS=&amp;GameEventID=162&amp;GameID=0021800427&amp;Season=2018-19&amp;flag=1&amp;title=Stauskas%201'%20Driving%20Reverse%20Layup%20(2%20PTS)%20(Leonard%201%20AST)", "Stauskas 1' Driving Reverse Layup (2 PTS) (Leonard 1 AST)")</f>
        <v>Stauskas 1' Driving Reverse Layup (2 PTS) (Leonard 1 AST)</v>
      </c>
      <c r="L1458" s="2" t="str">
        <f>HYPERLINK("https://www.nba.com/game/...-vs-...-0021800427/play-by-play?watchFullGame=true", "POR vs TOR - Q2 10:04.00")</f>
        <v>POR vs TOR - Q2 10:04.00</v>
      </c>
      <c r="M1458">
        <v>1</v>
      </c>
      <c r="N1458">
        <v>-12</v>
      </c>
      <c r="O1458">
        <v>0</v>
      </c>
      <c r="P1458">
        <v>-12</v>
      </c>
      <c r="Q1458">
        <v>0</v>
      </c>
      <c r="R1458" t="s">
        <v>0</v>
      </c>
      <c r="S1458" t="s">
        <v>0</v>
      </c>
      <c r="T1458" t="s">
        <v>0</v>
      </c>
    </row>
    <row r="1459" spans="1:20" x14ac:dyDescent="0.25">
      <c r="A1459">
        <v>21800575</v>
      </c>
      <c r="B1459" t="s">
        <v>10</v>
      </c>
      <c r="C1459" t="s">
        <v>19</v>
      </c>
      <c r="D1459">
        <v>39</v>
      </c>
      <c r="E1459">
        <v>37</v>
      </c>
      <c r="F1459">
        <v>2</v>
      </c>
      <c r="G1459">
        <v>2</v>
      </c>
      <c r="H1459" s="1">
        <v>6.6550925925925927E-3</v>
      </c>
      <c r="I1459">
        <v>2018</v>
      </c>
      <c r="J1459" t="s">
        <v>12</v>
      </c>
      <c r="K1459" s="2" t="str">
        <f>HYPERLINK("https://www.nba.com/stats/events?CFID=&amp;CFPARAMS=&amp;GameEventID=188&amp;GameID=0021800575&amp;Season=2018-19&amp;flag=1&amp;title=Curry%2024'%203PT%20Pullup%20Jump%20Shot%20(3%20PTS)%20(Leonard%201%20AST)", "Curry 24' 3PT Pullup Jump Shot (3 PTS) (Leonard 1 AST)")</f>
        <v>Curry 24' 3PT Pullup Jump Shot (3 PTS) (Leonard 1 AST)</v>
      </c>
      <c r="L1459" s="2" t="str">
        <f>HYPERLINK("https://www.nba.com/game/...-vs-...-0021800575/play-by-play?watchFullGame=true", "POR vs OKC - Q2 09:35.00")</f>
        <v>POR vs OKC - Q2 09:35.00</v>
      </c>
      <c r="M1459">
        <v>24</v>
      </c>
      <c r="N1459">
        <v>195</v>
      </c>
      <c r="O1459">
        <v>144</v>
      </c>
      <c r="P1459">
        <v>195</v>
      </c>
      <c r="Q1459">
        <v>144</v>
      </c>
      <c r="R1459" t="s">
        <v>0</v>
      </c>
      <c r="S1459" t="s">
        <v>0</v>
      </c>
      <c r="T1459" t="s">
        <v>0</v>
      </c>
    </row>
    <row r="1460" spans="1:20" x14ac:dyDescent="0.25">
      <c r="A1460">
        <v>21800615</v>
      </c>
      <c r="B1460" t="s">
        <v>10</v>
      </c>
      <c r="C1460" t="s">
        <v>14</v>
      </c>
      <c r="D1460">
        <v>38</v>
      </c>
      <c r="E1460">
        <v>33</v>
      </c>
      <c r="F1460">
        <v>5</v>
      </c>
      <c r="G1460">
        <v>2</v>
      </c>
      <c r="H1460" s="1">
        <v>6.3078703703703708E-3</v>
      </c>
      <c r="I1460">
        <v>2018</v>
      </c>
      <c r="J1460" t="s">
        <v>12</v>
      </c>
      <c r="K1460" s="2" t="str">
        <f>HYPERLINK("https://www.nba.com/stats/events?CFID=&amp;CFPARAMS=&amp;GameEventID=155&amp;GameID=0021800615&amp;Season=2018-19&amp;flag=1&amp;title=Stauskas%203PT%20Step%20Back%20Jump%20Shot%20(3%20PTS)%20(Leonard%201%20AST)", "Stauskas 3PT Step Back Jump Shot (3 PTS) (Leonard 1 AST)")</f>
        <v>Stauskas 3PT Step Back Jump Shot (3 PTS) (Leonard 1 AST)</v>
      </c>
      <c r="L1460" s="2" t="str">
        <f>HYPERLINK("https://www.nba.com/game/...-vs-...-0021800615/play-by-play?watchFullGame=true", "POR vs CHI - Q2 09:05.00")</f>
        <v>POR vs CHI - Q2 09:05.00</v>
      </c>
      <c r="M1460">
        <v>0</v>
      </c>
      <c r="N1460">
        <v>-225</v>
      </c>
      <c r="O1460">
        <v>26</v>
      </c>
      <c r="P1460">
        <v>-225</v>
      </c>
      <c r="Q1460">
        <v>26</v>
      </c>
      <c r="R1460" t="s">
        <v>0</v>
      </c>
      <c r="S1460" t="s">
        <v>0</v>
      </c>
      <c r="T1460" t="s">
        <v>0</v>
      </c>
    </row>
    <row r="1461" spans="1:20" x14ac:dyDescent="0.25">
      <c r="A1461">
        <v>21800724</v>
      </c>
      <c r="B1461" t="s">
        <v>10</v>
      </c>
      <c r="C1461" t="s">
        <v>9</v>
      </c>
      <c r="D1461">
        <v>45</v>
      </c>
      <c r="E1461">
        <v>55</v>
      </c>
      <c r="F1461">
        <v>10</v>
      </c>
      <c r="G1461">
        <v>2</v>
      </c>
      <c r="H1461" s="1">
        <v>2.9976851851851853E-3</v>
      </c>
      <c r="I1461">
        <v>2018</v>
      </c>
      <c r="J1461" t="s">
        <v>1</v>
      </c>
      <c r="K1461" s="2" t="str">
        <f>HYPERLINK("https://www.nba.com/stats/events?CFID=&amp;CFPARAMS=&amp;GameEventID=266&amp;GameID=0021800724&amp;Season=2018-19&amp;flag=1&amp;title=Green%2027'%203PT%20Jump%20Shot%20(5%20PTS)%20(Leonard%201%20AST)", "Green 27' 3PT Jump Shot (5 PTS) (Leonard 1 AST)")</f>
        <v>Green 27' 3PT Jump Shot (5 PTS) (Leonard 1 AST)</v>
      </c>
      <c r="L1461" s="2" t="str">
        <f>HYPERLINK("https://www.nba.com/game/...-vs-...-0021800724/play-by-play?watchFullGame=true", "TOR vs HOU - Q2 04:19.00")</f>
        <v>TOR vs HOU - Q2 04:19.00</v>
      </c>
      <c r="M1461">
        <v>27</v>
      </c>
      <c r="N1461">
        <v>212</v>
      </c>
      <c r="O1461">
        <v>163</v>
      </c>
      <c r="P1461">
        <v>212</v>
      </c>
      <c r="Q1461">
        <v>163</v>
      </c>
      <c r="R1461" t="s">
        <v>0</v>
      </c>
      <c r="S1461" t="s">
        <v>0</v>
      </c>
      <c r="T1461" t="s">
        <v>0</v>
      </c>
    </row>
    <row r="1462" spans="1:20" x14ac:dyDescent="0.25">
      <c r="A1462">
        <v>21800724</v>
      </c>
      <c r="B1462" t="s">
        <v>10</v>
      </c>
      <c r="C1462" t="s">
        <v>19</v>
      </c>
      <c r="D1462">
        <v>82</v>
      </c>
      <c r="E1462">
        <v>92</v>
      </c>
      <c r="F1462">
        <v>10</v>
      </c>
      <c r="G1462">
        <v>3</v>
      </c>
      <c r="H1462" s="1">
        <v>1.25E-3</v>
      </c>
      <c r="I1462">
        <v>2018</v>
      </c>
      <c r="J1462" t="s">
        <v>1</v>
      </c>
      <c r="K1462" s="2" t="str">
        <f>HYPERLINK("https://www.nba.com/stats/events?CFID=&amp;CFPARAMS=&amp;GameEventID=437&amp;GameID=0021800724&amp;Season=2018-19&amp;flag=1&amp;title=Green%2027'%203PT%20Pullup%20Jump%20Shot%20(16%20PTS)%20(Leonard%205%20AST)", "Green 27' 3PT Pullup Jump Shot (16 PTS) (Leonard 5 AST)")</f>
        <v>Green 27' 3PT Pullup Jump Shot (16 PTS) (Leonard 5 AST)</v>
      </c>
      <c r="L1462" s="2" t="str">
        <f>HYPERLINK("https://www.nba.com/game/...-vs-...-0021800724/play-by-play?watchFullGame=true", "TOR vs HOU - Q3 01:48.00")</f>
        <v>TOR vs HOU - Q3 01:48.00</v>
      </c>
      <c r="M1462">
        <v>27</v>
      </c>
      <c r="N1462">
        <v>130</v>
      </c>
      <c r="O1462">
        <v>236</v>
      </c>
      <c r="P1462">
        <v>130</v>
      </c>
      <c r="Q1462">
        <v>236</v>
      </c>
      <c r="R1462" t="s">
        <v>0</v>
      </c>
      <c r="S1462" t="s">
        <v>0</v>
      </c>
      <c r="T1462" t="s">
        <v>0</v>
      </c>
    </row>
    <row r="1463" spans="1:20" x14ac:dyDescent="0.25">
      <c r="A1463">
        <v>21800961</v>
      </c>
      <c r="B1463" t="s">
        <v>10</v>
      </c>
      <c r="C1463" t="s">
        <v>22</v>
      </c>
      <c r="D1463">
        <v>40</v>
      </c>
      <c r="E1463">
        <v>55</v>
      </c>
      <c r="F1463">
        <v>15</v>
      </c>
      <c r="G1463">
        <v>3</v>
      </c>
      <c r="H1463" s="1">
        <v>8.1712962962962963E-3</v>
      </c>
      <c r="I1463">
        <v>2018</v>
      </c>
      <c r="J1463" t="s">
        <v>1</v>
      </c>
      <c r="K1463" s="2" t="str">
        <f>HYPERLINK("https://www.nba.com/stats/events?CFID=&amp;CFPARAMS=&amp;GameEventID=313&amp;GameID=0021800961&amp;Season=2018-19&amp;flag=1&amp;title=Siakam%2025'%203PT%20Jump%20Bank%20Shot%20(5%20PTS)%20(Leonard%201%20AST)", "Siakam 25' 3PT Jump Bank Shot (5 PTS) (Leonard 1 AST)")</f>
        <v>Siakam 25' 3PT Jump Bank Shot (5 PTS) (Leonard 1 AST)</v>
      </c>
      <c r="L1463" s="2" t="str">
        <f>HYPERLINK("https://www.nba.com/game/...-vs-...-0021800961/play-by-play?watchFullGame=true", "TOR vs HOU - Q3 11:46.00")</f>
        <v>TOR vs HOU - Q3 11:46.00</v>
      </c>
      <c r="M1463">
        <v>25</v>
      </c>
      <c r="N1463">
        <v>209</v>
      </c>
      <c r="O1463">
        <v>130</v>
      </c>
      <c r="P1463">
        <v>209</v>
      </c>
      <c r="Q1463">
        <v>130</v>
      </c>
      <c r="R1463" t="s">
        <v>0</v>
      </c>
      <c r="S1463" t="s">
        <v>0</v>
      </c>
      <c r="T1463" t="s">
        <v>0</v>
      </c>
    </row>
    <row r="1464" spans="1:20" x14ac:dyDescent="0.25">
      <c r="A1464">
        <v>21801072</v>
      </c>
      <c r="B1464" t="s">
        <v>10</v>
      </c>
      <c r="C1464" t="s">
        <v>9</v>
      </c>
      <c r="D1464">
        <v>5</v>
      </c>
      <c r="E1464">
        <v>2</v>
      </c>
      <c r="F1464">
        <v>3</v>
      </c>
      <c r="G1464">
        <v>1</v>
      </c>
      <c r="H1464" s="1">
        <v>7.4305555555555557E-3</v>
      </c>
      <c r="I1464">
        <v>2018</v>
      </c>
      <c r="J1464" t="s">
        <v>1</v>
      </c>
      <c r="K1464" s="2" t="str">
        <f>HYPERLINK("https://www.nba.com/stats/events?CFID=&amp;CFPARAMS=&amp;GameEventID=17&amp;GameID=0021801072&amp;Season=2018-19&amp;flag=1&amp;title=Green%2025'%203PT%20Jump%20Shot%20(3%20PTS)%20(Leonard%201%20AST)", "Green 25' 3PT Jump Shot (3 PTS) (Leonard 1 AST)")</f>
        <v>Green 25' 3PT Jump Shot (3 PTS) (Leonard 1 AST)</v>
      </c>
      <c r="L1464" s="2" t="str">
        <f>HYPERLINK("https://www.nba.com/game/...-vs-...-0021801072/play-by-play?watchFullGame=true", "TOR vs OKC - Q1 10:42.00")</f>
        <v>TOR vs OKC - Q1 10:42.00</v>
      </c>
      <c r="M1464">
        <v>25</v>
      </c>
      <c r="N1464">
        <v>215</v>
      </c>
      <c r="O1464">
        <v>120</v>
      </c>
      <c r="P1464">
        <v>215</v>
      </c>
      <c r="Q1464">
        <v>120</v>
      </c>
      <c r="R1464" t="s">
        <v>0</v>
      </c>
      <c r="S1464" t="s">
        <v>0</v>
      </c>
      <c r="T1464" t="s">
        <v>0</v>
      </c>
    </row>
    <row r="1465" spans="1:20" x14ac:dyDescent="0.25">
      <c r="A1465">
        <v>21801110</v>
      </c>
      <c r="B1465" t="s">
        <v>10</v>
      </c>
      <c r="C1465" t="s">
        <v>9</v>
      </c>
      <c r="D1465">
        <v>6</v>
      </c>
      <c r="E1465">
        <v>0</v>
      </c>
      <c r="F1465">
        <v>6</v>
      </c>
      <c r="G1465">
        <v>1</v>
      </c>
      <c r="H1465" s="1">
        <v>7.1527777777777779E-3</v>
      </c>
      <c r="I1465">
        <v>2018</v>
      </c>
      <c r="J1465" t="s">
        <v>1</v>
      </c>
      <c r="K1465" s="2" t="str">
        <f>HYPERLINK("https://www.nba.com/stats/events?CFID=&amp;CFPARAMS=&amp;GameEventID=16&amp;GameID=0021801110&amp;Season=2018-19&amp;flag=1&amp;title=Green%203PT%20Jump%20Shot%20(3%20PTS)%20(Leonard%201%20AST)", "Green 3PT Jump Shot (3 PTS) (Leonard 1 AST)")</f>
        <v>Green 3PT Jump Shot (3 PTS) (Leonard 1 AST)</v>
      </c>
      <c r="L1465" s="2" t="str">
        <f>HYPERLINK("https://www.nba.com/game/...-vs-...-0021801110/play-by-play?watchFullGame=true", "TOR vs CHI - Q1 10:18.00")</f>
        <v>TOR vs CHI - Q1 10:18.00</v>
      </c>
      <c r="M1465">
        <v>0</v>
      </c>
      <c r="N1465">
        <v>228</v>
      </c>
      <c r="O1465">
        <v>5</v>
      </c>
      <c r="P1465">
        <v>228</v>
      </c>
      <c r="Q1465">
        <v>5</v>
      </c>
      <c r="R1465" t="s">
        <v>0</v>
      </c>
      <c r="S1465" t="s">
        <v>0</v>
      </c>
      <c r="T1465" t="s">
        <v>0</v>
      </c>
    </row>
    <row r="1466" spans="1:20" x14ac:dyDescent="0.25">
      <c r="A1466">
        <v>21500971</v>
      </c>
      <c r="B1466" t="s">
        <v>10</v>
      </c>
      <c r="C1466" t="s">
        <v>19</v>
      </c>
      <c r="D1466">
        <v>35</v>
      </c>
      <c r="E1466">
        <v>47</v>
      </c>
      <c r="F1466">
        <v>12</v>
      </c>
      <c r="G1466">
        <v>2</v>
      </c>
      <c r="H1466" s="1">
        <v>6.8402777777777776E-3</v>
      </c>
      <c r="I1466">
        <v>2015</v>
      </c>
      <c r="J1466" t="s">
        <v>12</v>
      </c>
      <c r="K1466" s="2" t="str">
        <f>HYPERLINK("https://www.nba.com/stats/events?CFID=&amp;CFPARAMS=&amp;GameEventID=152&amp;GameID=0021500971&amp;Season=2015-16&amp;flag=1&amp;title=Crabbe%2025'%203PT%20Pullup%20Jump%20Shot%20(7%20PTS)%20(Leonard%202%20AST)", "Crabbe 25' 3PT Pullup Jump Shot (7 PTS) (Leonard 2 AST)")</f>
        <v>Crabbe 25' 3PT Pullup Jump Shot (7 PTS) (Leonard 2 AST)</v>
      </c>
      <c r="L1466" s="2" t="str">
        <f>HYPERLINK("https://www.nba.com/game/...-vs-...-0021500971/play-by-play?watchFullGame=true", "POR vs GSW - Q2 09:51.00")</f>
        <v>POR vs GSW - Q2 09:51.00</v>
      </c>
      <c r="M1466">
        <v>25</v>
      </c>
      <c r="N1466">
        <v>-207</v>
      </c>
      <c r="O1466">
        <v>146</v>
      </c>
      <c r="P1466">
        <v>-207</v>
      </c>
      <c r="Q1466">
        <v>146</v>
      </c>
      <c r="R1466" t="s">
        <v>0</v>
      </c>
      <c r="S1466" t="s">
        <v>0</v>
      </c>
      <c r="T1466" t="s">
        <v>0</v>
      </c>
    </row>
    <row r="1467" spans="1:20" x14ac:dyDescent="0.25">
      <c r="A1467">
        <v>21500982</v>
      </c>
      <c r="B1467" t="s">
        <v>10</v>
      </c>
      <c r="C1467" t="s">
        <v>9</v>
      </c>
      <c r="D1467">
        <v>26</v>
      </c>
      <c r="E1467">
        <v>21</v>
      </c>
      <c r="F1467">
        <v>5</v>
      </c>
      <c r="G1467">
        <v>1</v>
      </c>
      <c r="H1467" s="1">
        <v>7.1759259259259259E-4</v>
      </c>
      <c r="I1467">
        <v>2015</v>
      </c>
      <c r="J1467" t="s">
        <v>12</v>
      </c>
      <c r="K1467" s="2" t="str">
        <f>HYPERLINK("https://www.nba.com/stats/events?CFID=&amp;CFPARAMS=&amp;GameEventID=87&amp;GameID=0021500982&amp;Season=2015-16&amp;flag=1&amp;title=Crabbe%2025'%203PT%20Jump%20Shot%20(6%20PTS)%20(Leonard%202%20AST)", "Crabbe 25' 3PT Jump Shot (6 PTS) (Leonard 2 AST)")</f>
        <v>Crabbe 25' 3PT Jump Shot (6 PTS) (Leonard 2 AST)</v>
      </c>
      <c r="L1467" s="2" t="str">
        <f>HYPERLINK("https://www.nba.com/game/...-vs-...-0021500982/play-by-play?watchFullGame=true", "POR vs ORL - Q1 01:02.00")</f>
        <v>POR vs ORL - Q1 01:02.00</v>
      </c>
      <c r="M1467">
        <v>25</v>
      </c>
      <c r="N1467">
        <v>-9</v>
      </c>
      <c r="O1467">
        <v>247</v>
      </c>
      <c r="P1467">
        <v>-9</v>
      </c>
      <c r="Q1467">
        <v>247</v>
      </c>
      <c r="R1467" t="s">
        <v>0</v>
      </c>
      <c r="S1467" t="s">
        <v>0</v>
      </c>
      <c r="T1467" t="s">
        <v>0</v>
      </c>
    </row>
    <row r="1468" spans="1:20" x14ac:dyDescent="0.25">
      <c r="A1468">
        <v>21600225</v>
      </c>
      <c r="B1468" t="s">
        <v>4</v>
      </c>
      <c r="C1468" t="s">
        <v>6</v>
      </c>
      <c r="D1468">
        <v>39</v>
      </c>
      <c r="E1468">
        <v>40</v>
      </c>
      <c r="F1468">
        <v>1</v>
      </c>
      <c r="G1468">
        <v>2</v>
      </c>
      <c r="H1468" s="1">
        <v>2.8124999999999999E-3</v>
      </c>
      <c r="I1468">
        <v>2016</v>
      </c>
      <c r="J1468" t="s">
        <v>7</v>
      </c>
      <c r="K1468" s="2" t="str">
        <f>HYPERLINK("https://www.nba.com/stats/events?CFID=&amp;CFPARAMS=&amp;GameEventID=189&amp;GameID=0021600225&amp;Season=2016-17&amp;flag=1&amp;title=Bertans%20%20Cutting%20Dunk%20Shot%20(9%20PTS)%20(Leonard%202%20AST)", "Bertans  Cutting Dunk Shot (9 PTS) (Leonard 2 AST)")</f>
        <v>Bertans  Cutting Dunk Shot (9 PTS) (Leonard 2 AST)</v>
      </c>
      <c r="L1468" s="2" t="str">
        <f>HYPERLINK("https://www.nba.com/game/...-vs-...-0021600225/play-by-play?watchFullGame=true", "SAS vs BOS - Q2 04:03.00")</f>
        <v>SAS vs BOS - Q2 04:03.00</v>
      </c>
      <c r="M1468">
        <v>0</v>
      </c>
      <c r="N1468">
        <v>0</v>
      </c>
      <c r="O1468">
        <v>1</v>
      </c>
      <c r="P1468">
        <v>0</v>
      </c>
      <c r="Q1468">
        <v>1</v>
      </c>
      <c r="R1468" t="s">
        <v>0</v>
      </c>
      <c r="S1468" t="s">
        <v>0</v>
      </c>
      <c r="T1468" t="s">
        <v>0</v>
      </c>
    </row>
    <row r="1469" spans="1:20" x14ac:dyDescent="0.25">
      <c r="A1469">
        <v>21600336</v>
      </c>
      <c r="B1469" t="s">
        <v>10</v>
      </c>
      <c r="C1469" t="s">
        <v>9</v>
      </c>
      <c r="D1469">
        <v>84</v>
      </c>
      <c r="E1469">
        <v>88</v>
      </c>
      <c r="F1469">
        <v>4</v>
      </c>
      <c r="G1469">
        <v>4</v>
      </c>
      <c r="H1469" s="1">
        <v>2.3611111111111111E-3</v>
      </c>
      <c r="I1469">
        <v>2016</v>
      </c>
      <c r="J1469" t="s">
        <v>7</v>
      </c>
      <c r="K1469" s="2" t="str">
        <f>HYPERLINK("https://www.nba.com/stats/events?CFID=&amp;CFPARAMS=&amp;GameEventID=488&amp;GameID=0021600336&amp;Season=2016-17&amp;flag=1&amp;title=Gasol%2024'%203PT%20Jump%20Shot%20(13%20PTS)%20(Leonard%205%20AST)", "Gasol 24' 3PT Jump Shot (13 PTS) (Leonard 5 AST)")</f>
        <v>Gasol 24' 3PT Jump Shot (13 PTS) (Leonard 5 AST)</v>
      </c>
      <c r="L1469" s="2" t="str">
        <f>HYPERLINK("https://www.nba.com/game/...-vs-...-0021600336/play-by-play?watchFullGame=true", "SAS vs CHI - Q4 03:24.00")</f>
        <v>SAS vs CHI - Q4 03:24.00</v>
      </c>
      <c r="M1469">
        <v>24</v>
      </c>
      <c r="N1469">
        <v>-235</v>
      </c>
      <c r="O1469">
        <v>-10</v>
      </c>
      <c r="P1469">
        <v>-235</v>
      </c>
      <c r="Q1469">
        <v>-10</v>
      </c>
      <c r="R1469" t="s">
        <v>0</v>
      </c>
      <c r="S1469" t="s">
        <v>0</v>
      </c>
      <c r="T1469" t="s">
        <v>0</v>
      </c>
    </row>
    <row r="1470" spans="1:20" x14ac:dyDescent="0.25">
      <c r="A1470">
        <v>21600383</v>
      </c>
      <c r="B1470" t="s">
        <v>4</v>
      </c>
      <c r="C1470" t="s">
        <v>50</v>
      </c>
      <c r="D1470">
        <v>44</v>
      </c>
      <c r="E1470">
        <v>43</v>
      </c>
      <c r="F1470">
        <v>1</v>
      </c>
      <c r="G1470">
        <v>2</v>
      </c>
      <c r="H1470" s="1">
        <v>1.9907407407407408E-3</v>
      </c>
      <c r="I1470">
        <v>2016</v>
      </c>
      <c r="J1470" t="s">
        <v>7</v>
      </c>
      <c r="K1470" s="2" t="str">
        <f>HYPERLINK("https://www.nba.com/stats/events?CFID=&amp;CFPARAMS=&amp;GameEventID=203&amp;GameID=0021600383&amp;Season=2016-17&amp;flag=1&amp;title=Gasol%202'%20Finger%20Roll%20Layup%20(4%20PTS)%20(Leonard%201%20AST)", "Gasol 2' Finger Roll Layup (4 PTS) (Leonard 1 AST)")</f>
        <v>Gasol 2' Finger Roll Layup (4 PTS) (Leonard 1 AST)</v>
      </c>
      <c r="L1470" s="2" t="str">
        <f>HYPERLINK("https://www.nba.com/game/...-vs-...-0021600383/play-by-play?watchFullGame=true", "SAS vs BOS - Q2 02:52.00")</f>
        <v>SAS vs BOS - Q2 02:52.00</v>
      </c>
      <c r="M1470">
        <v>2</v>
      </c>
      <c r="N1470">
        <v>10</v>
      </c>
      <c r="O1470">
        <v>21</v>
      </c>
      <c r="P1470">
        <v>10</v>
      </c>
      <c r="Q1470">
        <v>21</v>
      </c>
      <c r="R1470" t="s">
        <v>0</v>
      </c>
      <c r="S1470" t="s">
        <v>0</v>
      </c>
      <c r="T1470" t="s">
        <v>0</v>
      </c>
    </row>
    <row r="1471" spans="1:20" x14ac:dyDescent="0.25">
      <c r="A1471">
        <v>21600383</v>
      </c>
      <c r="B1471" t="s">
        <v>10</v>
      </c>
      <c r="C1471" t="s">
        <v>9</v>
      </c>
      <c r="D1471">
        <v>77</v>
      </c>
      <c r="E1471">
        <v>73</v>
      </c>
      <c r="F1471">
        <v>4</v>
      </c>
      <c r="G1471">
        <v>3</v>
      </c>
      <c r="H1471" s="1">
        <v>5.4282407407407404E-4</v>
      </c>
      <c r="I1471">
        <v>2016</v>
      </c>
      <c r="J1471" t="s">
        <v>7</v>
      </c>
      <c r="K1471" s="2" t="str">
        <f>HYPERLINK("https://www.nba.com/stats/events?CFID=&amp;CFPARAMS=&amp;GameEventID=353&amp;GameID=0021600383&amp;Season=2016-17&amp;flag=1&amp;title=Gasol%2024'%203PT%20Jump%20Shot%20(13%20PTS)%20(Leonard%205%20AST)", "Gasol 24' 3PT Jump Shot (13 PTS) (Leonard 5 AST)")</f>
        <v>Gasol 24' 3PT Jump Shot (13 PTS) (Leonard 5 AST)</v>
      </c>
      <c r="L1471" s="2" t="str">
        <f>HYPERLINK("https://www.nba.com/game/...-vs-...-0021600383/play-by-play?watchFullGame=true", "SAS vs BOS - Q3 00:46.90")</f>
        <v>SAS vs BOS - Q3 00:46.90</v>
      </c>
      <c r="M1471">
        <v>24</v>
      </c>
      <c r="N1471">
        <v>-235</v>
      </c>
      <c r="O1471">
        <v>2</v>
      </c>
      <c r="P1471">
        <v>-235</v>
      </c>
      <c r="Q1471">
        <v>2</v>
      </c>
      <c r="R1471" t="s">
        <v>0</v>
      </c>
      <c r="S1471" t="s">
        <v>0</v>
      </c>
      <c r="T1471" t="s">
        <v>0</v>
      </c>
    </row>
    <row r="1472" spans="1:20" x14ac:dyDescent="0.25">
      <c r="A1472">
        <v>21600387</v>
      </c>
      <c r="B1472" t="s">
        <v>4</v>
      </c>
      <c r="C1472" t="s">
        <v>26</v>
      </c>
      <c r="D1472">
        <v>16</v>
      </c>
      <c r="E1472">
        <v>14</v>
      </c>
      <c r="F1472">
        <v>2</v>
      </c>
      <c r="G1472">
        <v>1</v>
      </c>
      <c r="H1472" s="1">
        <v>3.2870370370370371E-3</v>
      </c>
      <c r="I1472">
        <v>2016</v>
      </c>
      <c r="J1472" t="s">
        <v>7</v>
      </c>
      <c r="K1472" s="2" t="str">
        <f>HYPERLINK("https://www.nba.com/stats/events?CFID=&amp;CFPARAMS=&amp;GameEventID=64&amp;GameID=0021600387&amp;Season=2016-17&amp;flag=1&amp;title=Dedmon%202'%20Reverse%20Layup%20(2%20PTS)%20(Leonard%201%20AST)", "Dedmon 2' Reverse Layup (2 PTS) (Leonard 1 AST)")</f>
        <v>Dedmon 2' Reverse Layup (2 PTS) (Leonard 1 AST)</v>
      </c>
      <c r="L1472" s="2" t="str">
        <f>HYPERLINK("https://www.nba.com/game/...-vs-...-0021600387/play-by-play?watchFullGame=true", "SAS vs PHX - Q1 04:44.00")</f>
        <v>SAS vs PHX - Q1 04:44.00</v>
      </c>
      <c r="M1472">
        <v>2</v>
      </c>
      <c r="N1472">
        <v>19</v>
      </c>
      <c r="O1472">
        <v>16</v>
      </c>
      <c r="P1472">
        <v>19</v>
      </c>
      <c r="Q1472">
        <v>16</v>
      </c>
      <c r="R1472" t="s">
        <v>0</v>
      </c>
      <c r="S1472" t="s">
        <v>0</v>
      </c>
      <c r="T1472" t="s">
        <v>0</v>
      </c>
    </row>
    <row r="1473" spans="1:20" x14ac:dyDescent="0.25">
      <c r="A1473">
        <v>21600425</v>
      </c>
      <c r="B1473" t="s">
        <v>4</v>
      </c>
      <c r="C1473" t="s">
        <v>16</v>
      </c>
      <c r="D1473">
        <v>88</v>
      </c>
      <c r="E1473">
        <v>96</v>
      </c>
      <c r="F1473">
        <v>8</v>
      </c>
      <c r="G1473">
        <v>4</v>
      </c>
      <c r="H1473" s="1">
        <v>2.662037037037037E-3</v>
      </c>
      <c r="I1473">
        <v>2016</v>
      </c>
      <c r="J1473" t="s">
        <v>7</v>
      </c>
      <c r="K1473" s="2" t="str">
        <f>HYPERLINK("https://www.nba.com/stats/events?CFID=&amp;CFPARAMS=&amp;GameEventID=495&amp;GameID=0021600425&amp;Season=2016-17&amp;flag=1&amp;title=Gasol%20%20Running%20Dunk%20(10%20PTS)%20(Leonard%203%20AST)", "Gasol  Running Dunk (10 PTS) (Leonard 3 AST)")</f>
        <v>Gasol  Running Dunk (10 PTS) (Leonard 3 AST)</v>
      </c>
      <c r="L1473" s="2" t="str">
        <f>HYPERLINK("https://www.nba.com/game/...-vs-...-0021600425/play-by-play?watchFullGame=true", "SAS vs HOU - Q4 03:50.00")</f>
        <v>SAS vs HOU - Q4 03:50.00</v>
      </c>
      <c r="M1473">
        <v>0</v>
      </c>
      <c r="N1473">
        <v>0</v>
      </c>
      <c r="O1473">
        <v>1</v>
      </c>
      <c r="P1473">
        <v>0</v>
      </c>
      <c r="Q1473">
        <v>1</v>
      </c>
      <c r="R1473" t="s">
        <v>0</v>
      </c>
      <c r="S1473" t="s">
        <v>0</v>
      </c>
      <c r="T1473" t="s">
        <v>0</v>
      </c>
    </row>
    <row r="1474" spans="1:20" x14ac:dyDescent="0.25">
      <c r="A1474">
        <v>21400102</v>
      </c>
      <c r="B1474" t="s">
        <v>4</v>
      </c>
      <c r="C1474" t="s">
        <v>5</v>
      </c>
      <c r="D1474">
        <v>77</v>
      </c>
      <c r="E1474">
        <v>82</v>
      </c>
      <c r="F1474">
        <v>5</v>
      </c>
      <c r="G1474">
        <v>4</v>
      </c>
      <c r="H1474" s="1">
        <v>3.6689814814814814E-3</v>
      </c>
      <c r="I1474">
        <v>2014</v>
      </c>
      <c r="J1474" t="s">
        <v>7</v>
      </c>
      <c r="K1474" s="2" t="str">
        <f>HYPERLINK("https://www.nba.com/stats/events?CFID=&amp;CFPARAMS=&amp;GameEventID=453&amp;GameID=0021400102&amp;Season=2014-15&amp;flag=1&amp;title=Duncan%202'%20Layup%20(14%20PTS)%20(Leonard%202%20AST)", "Duncan 2' Layup (14 PTS) (Leonard 2 AST)")</f>
        <v>Duncan 2' Layup (14 PTS) (Leonard 2 AST)</v>
      </c>
      <c r="L1474" s="2" t="str">
        <f>HYPERLINK("https://www.nba.com/game/...-vs-...-0021400102/play-by-play?watchFullGame=true", "SAS vs LAC - Q4 05:17.00")</f>
        <v>SAS vs LAC - Q4 05:17.00</v>
      </c>
      <c r="M1474">
        <v>2</v>
      </c>
      <c r="N1474">
        <v>15</v>
      </c>
      <c r="O1474">
        <v>0</v>
      </c>
      <c r="P1474">
        <v>15</v>
      </c>
      <c r="Q1474">
        <v>0</v>
      </c>
      <c r="R1474" t="s">
        <v>0</v>
      </c>
      <c r="S1474" t="s">
        <v>0</v>
      </c>
      <c r="T1474" t="s">
        <v>0</v>
      </c>
    </row>
    <row r="1475" spans="1:20" x14ac:dyDescent="0.25">
      <c r="A1475">
        <v>21400648</v>
      </c>
      <c r="B1475" t="s">
        <v>4</v>
      </c>
      <c r="C1475" t="s">
        <v>26</v>
      </c>
      <c r="D1475">
        <v>25</v>
      </c>
      <c r="E1475">
        <v>8</v>
      </c>
      <c r="F1475">
        <v>17</v>
      </c>
      <c r="G1475">
        <v>1</v>
      </c>
      <c r="H1475" s="1">
        <v>1.736111111111111E-3</v>
      </c>
      <c r="I1475">
        <v>2014</v>
      </c>
      <c r="J1475" t="s">
        <v>7</v>
      </c>
      <c r="K1475" s="2" t="str">
        <f>HYPERLINK("https://www.nba.com/stats/events?CFID=&amp;CFPARAMS=&amp;GameEventID=87&amp;GameID=0021400648&amp;Season=2014-15&amp;flag=1&amp;title=Baynes%202'%20Reverse%20Layup%20(4%20PTS)%20(Leonard%201%20AST)", "Baynes 2' Reverse Layup (4 PTS) (Leonard 1 AST)")</f>
        <v>Baynes 2' Reverse Layup (4 PTS) (Leonard 1 AST)</v>
      </c>
      <c r="L1475" s="2" t="str">
        <f>HYPERLINK("https://www.nba.com/game/...-vs-...-0021400648/play-by-play?watchFullGame=true", "SAS vs LAL - Q1 02:30.00")</f>
        <v>SAS vs LAL - Q1 02:30.00</v>
      </c>
      <c r="M1475">
        <v>2</v>
      </c>
      <c r="N1475">
        <v>21</v>
      </c>
      <c r="O1475">
        <v>0</v>
      </c>
      <c r="P1475">
        <v>21</v>
      </c>
      <c r="Q1475">
        <v>0</v>
      </c>
      <c r="R1475" t="s">
        <v>0</v>
      </c>
      <c r="S1475" t="s">
        <v>0</v>
      </c>
      <c r="T1475" t="s">
        <v>0</v>
      </c>
    </row>
    <row r="1476" spans="1:20" x14ac:dyDescent="0.25">
      <c r="A1476">
        <v>21400663</v>
      </c>
      <c r="B1476" t="s">
        <v>4</v>
      </c>
      <c r="C1476" t="s">
        <v>5</v>
      </c>
      <c r="D1476">
        <v>35</v>
      </c>
      <c r="E1476">
        <v>44</v>
      </c>
      <c r="F1476">
        <v>9</v>
      </c>
      <c r="G1476">
        <v>2</v>
      </c>
      <c r="H1476" s="1">
        <v>3.6111111111111109E-3</v>
      </c>
      <c r="I1476">
        <v>2014</v>
      </c>
      <c r="J1476" t="s">
        <v>7</v>
      </c>
      <c r="K1476" s="2" t="str">
        <f>HYPERLINK("https://www.nba.com/stats/events?CFID=&amp;CFPARAMS=&amp;GameEventID=183&amp;GameID=0021400663&amp;Season=2014-15&amp;flag=1&amp;title=Duncan%201'%20Layup%20(9%20PTS)%20(Leonard%202%20AST)", "Duncan 1' Layup (9 PTS) (Leonard 2 AST)")</f>
        <v>Duncan 1' Layup (9 PTS) (Leonard 2 AST)</v>
      </c>
      <c r="L1476" s="2" t="str">
        <f>HYPERLINK("https://www.nba.com/game/...-vs-...-0021400663/play-by-play?watchFullGame=true", "SAS vs MIL - Q2 05:12.00")</f>
        <v>SAS vs MIL - Q2 05:12.00</v>
      </c>
      <c r="M1476">
        <v>1</v>
      </c>
      <c r="N1476">
        <v>9</v>
      </c>
      <c r="O1476">
        <v>7</v>
      </c>
      <c r="P1476">
        <v>9</v>
      </c>
      <c r="Q1476">
        <v>7</v>
      </c>
      <c r="R1476" t="s">
        <v>0</v>
      </c>
      <c r="S1476" t="s">
        <v>0</v>
      </c>
      <c r="T1476" t="s">
        <v>0</v>
      </c>
    </row>
    <row r="1477" spans="1:20" x14ac:dyDescent="0.25">
      <c r="A1477">
        <v>21400771</v>
      </c>
      <c r="B1477" t="s">
        <v>4</v>
      </c>
      <c r="C1477" t="s">
        <v>38</v>
      </c>
      <c r="D1477">
        <v>39</v>
      </c>
      <c r="E1477">
        <v>35</v>
      </c>
      <c r="F1477">
        <v>4</v>
      </c>
      <c r="G1477">
        <v>2</v>
      </c>
      <c r="H1477" s="1">
        <v>4.8032407407407407E-3</v>
      </c>
      <c r="I1477">
        <v>2014</v>
      </c>
      <c r="J1477" t="s">
        <v>12</v>
      </c>
      <c r="K1477" s="2" t="str">
        <f>HYPERLINK("https://www.nba.com/stats/events?CFID=&amp;CFPARAMS=&amp;GameEventID=186&amp;GameID=0021400771&amp;Season=2014-15&amp;flag=1&amp;title=Lopez%20%20Dunk%20(4%20PTS)%20(Leonard%201%20AST)", "Lopez  Dunk (4 PTS) (Leonard 1 AST)")</f>
        <v>Lopez  Dunk (4 PTS) (Leonard 1 AST)</v>
      </c>
      <c r="L1477" s="2" t="str">
        <f>HYPERLINK("https://www.nba.com/game/...-vs-...-0021400771/play-by-play?watchFullGame=true", "POR vs HOU - Q2 06:55.00")</f>
        <v>POR vs HOU - Q2 06:55.00</v>
      </c>
      <c r="M1477">
        <v>0</v>
      </c>
      <c r="N1477">
        <v>0</v>
      </c>
      <c r="O1477">
        <v>1</v>
      </c>
      <c r="P1477">
        <v>0</v>
      </c>
      <c r="Q1477">
        <v>1</v>
      </c>
      <c r="R1477" t="s">
        <v>0</v>
      </c>
      <c r="S1477" t="s">
        <v>0</v>
      </c>
      <c r="T1477" t="s">
        <v>0</v>
      </c>
    </row>
    <row r="1478" spans="1:20" x14ac:dyDescent="0.25">
      <c r="A1478">
        <v>21400772</v>
      </c>
      <c r="B1478" t="s">
        <v>4</v>
      </c>
      <c r="C1478" t="s">
        <v>19</v>
      </c>
      <c r="D1478">
        <v>53</v>
      </c>
      <c r="E1478">
        <v>47</v>
      </c>
      <c r="F1478">
        <v>6</v>
      </c>
      <c r="G1478">
        <v>3</v>
      </c>
      <c r="H1478" s="1">
        <v>6.5624999999999998E-3</v>
      </c>
      <c r="I1478">
        <v>2014</v>
      </c>
      <c r="J1478" t="s">
        <v>7</v>
      </c>
      <c r="K1478" s="2" t="str">
        <f>HYPERLINK("https://www.nba.com/stats/events?CFID=&amp;CFPARAMS=&amp;GameEventID=297&amp;GameID=0021400772&amp;Season=2014-15&amp;flag=1&amp;title=Parker%206'%20Pullup%20Jump%20Shot%20(4%20PTS)%20(Leonard%201%20AST)", "Parker 6' Pullup Jump Shot (4 PTS) (Leonard 1 AST)")</f>
        <v>Parker 6' Pullup Jump Shot (4 PTS) (Leonard 1 AST)</v>
      </c>
      <c r="L1478" s="2" t="str">
        <f>HYPERLINK("https://www.nba.com/game/...-vs-...-0021400772/play-by-play?watchFullGame=true", "SAS vs TOR - Q3 09:27.00")</f>
        <v>SAS vs TOR - Q3 09:27.00</v>
      </c>
      <c r="M1478">
        <v>6</v>
      </c>
      <c r="N1478">
        <v>-8</v>
      </c>
      <c r="O1478">
        <v>56</v>
      </c>
      <c r="P1478">
        <v>-8</v>
      </c>
      <c r="Q1478">
        <v>56</v>
      </c>
      <c r="R1478" t="s">
        <v>0</v>
      </c>
      <c r="S1478" t="s">
        <v>0</v>
      </c>
      <c r="T1478" t="s">
        <v>0</v>
      </c>
    </row>
    <row r="1479" spans="1:20" x14ac:dyDescent="0.25">
      <c r="A1479">
        <v>21400949</v>
      </c>
      <c r="B1479" t="s">
        <v>4</v>
      </c>
      <c r="C1479" t="s">
        <v>5</v>
      </c>
      <c r="D1479">
        <v>56</v>
      </c>
      <c r="E1479">
        <v>36</v>
      </c>
      <c r="F1479">
        <v>20</v>
      </c>
      <c r="G1479">
        <v>2</v>
      </c>
      <c r="H1479" s="1">
        <v>1.0995370370370371E-3</v>
      </c>
      <c r="I1479">
        <v>2014</v>
      </c>
      <c r="J1479" t="s">
        <v>7</v>
      </c>
      <c r="K1479" s="2" t="str">
        <f>HYPERLINK("https://www.nba.com/stats/events?CFID=&amp;CFPARAMS=&amp;GameEventID=224&amp;GameID=0021400949&amp;Season=2014-15&amp;flag=1&amp;title=Baynes%203'%20Layup%20(4%20PTS)%20(Leonard%201%20AST)", "Baynes 3' Layup (4 PTS) (Leonard 1 AST)")</f>
        <v>Baynes 3' Layup (4 PTS) (Leonard 1 AST)</v>
      </c>
      <c r="L1479" s="2" t="str">
        <f>HYPERLINK("https://www.nba.com/game/...-vs-...-0021400949/play-by-play?watchFullGame=true", "SAS vs TOR - Q2 01:35.00")</f>
        <v>SAS vs TOR - Q2 01:35.00</v>
      </c>
      <c r="M1479">
        <v>3</v>
      </c>
      <c r="N1479">
        <v>29</v>
      </c>
      <c r="O1479">
        <v>0</v>
      </c>
      <c r="P1479">
        <v>29</v>
      </c>
      <c r="Q1479">
        <v>0</v>
      </c>
      <c r="R1479" t="s">
        <v>0</v>
      </c>
      <c r="S1479" t="s">
        <v>0</v>
      </c>
      <c r="T1479" t="s">
        <v>0</v>
      </c>
    </row>
    <row r="1480" spans="1:20" x14ac:dyDescent="0.25">
      <c r="A1480">
        <v>21401071</v>
      </c>
      <c r="B1480" t="s">
        <v>4</v>
      </c>
      <c r="C1480" t="s">
        <v>5</v>
      </c>
      <c r="D1480">
        <v>65</v>
      </c>
      <c r="E1480">
        <v>45</v>
      </c>
      <c r="F1480">
        <v>20</v>
      </c>
      <c r="G1480">
        <v>2</v>
      </c>
      <c r="H1480" s="1">
        <v>9.0277777777777774E-4</v>
      </c>
      <c r="I1480">
        <v>2014</v>
      </c>
      <c r="J1480" t="s">
        <v>7</v>
      </c>
      <c r="K1480" s="2" t="str">
        <f>HYPERLINK("https://www.nba.com/stats/events?CFID=&amp;CFPARAMS=&amp;GameEventID=231&amp;GameID=0021401071&amp;Season=2014-15&amp;flag=1&amp;title=Diaw%202'%20Layup%20(12%20PTS)%20(Leonard%204%20AST)", "Diaw 2' Layup (12 PTS) (Leonard 4 AST)")</f>
        <v>Diaw 2' Layup (12 PTS) (Leonard 4 AST)</v>
      </c>
      <c r="L1480" s="2" t="str">
        <f>HYPERLINK("https://www.nba.com/game/...-vs-...-0021401071/play-by-play?watchFullGame=true", "SAS vs OKC - Q2 01:18.00")</f>
        <v>SAS vs OKC - Q2 01:18.00</v>
      </c>
      <c r="M1480">
        <v>2</v>
      </c>
      <c r="N1480">
        <v>-18</v>
      </c>
      <c r="O1480">
        <v>3</v>
      </c>
      <c r="P1480">
        <v>-18</v>
      </c>
      <c r="Q1480">
        <v>3</v>
      </c>
      <c r="R1480" t="s">
        <v>0</v>
      </c>
      <c r="S1480" t="s">
        <v>0</v>
      </c>
      <c r="T1480" t="s">
        <v>0</v>
      </c>
    </row>
    <row r="1481" spans="1:20" x14ac:dyDescent="0.25">
      <c r="A1481">
        <v>21401084</v>
      </c>
      <c r="B1481" t="s">
        <v>4</v>
      </c>
      <c r="C1481" t="s">
        <v>25</v>
      </c>
      <c r="D1481">
        <v>78</v>
      </c>
      <c r="E1481">
        <v>63</v>
      </c>
      <c r="F1481">
        <v>15</v>
      </c>
      <c r="G1481">
        <v>4</v>
      </c>
      <c r="H1481" s="1">
        <v>5.3819444444444444E-3</v>
      </c>
      <c r="I1481">
        <v>2014</v>
      </c>
      <c r="J1481" t="s">
        <v>7</v>
      </c>
      <c r="K1481" s="2" t="str">
        <f>HYPERLINK("https://www.nba.com/stats/events?CFID=&amp;CFPARAMS=&amp;GameEventID=415&amp;GameID=0021401084&amp;Season=2014-15&amp;flag=1&amp;title=Diaw%205'%20Running%20Finger%20Roll%20Layup%20(17%20PTS)%20(Leonard%203%20AST)", "Diaw 5' Running Finger Roll Layup (17 PTS) (Leonard 3 AST)")</f>
        <v>Diaw 5' Running Finger Roll Layup (17 PTS) (Leonard 3 AST)</v>
      </c>
      <c r="L1481" s="2" t="str">
        <f>HYPERLINK("https://www.nba.com/game/...-vs-...-0021401084/play-by-play?watchFullGame=true", "SAS vs DAL - Q4 07:45.00")</f>
        <v>SAS vs DAL - Q4 07:45.00</v>
      </c>
      <c r="M1481">
        <v>5</v>
      </c>
      <c r="N1481">
        <v>-1</v>
      </c>
      <c r="O1481">
        <v>48</v>
      </c>
      <c r="P1481">
        <v>-1</v>
      </c>
      <c r="Q1481">
        <v>48</v>
      </c>
      <c r="R1481" t="s">
        <v>0</v>
      </c>
      <c r="S1481" t="s">
        <v>0</v>
      </c>
      <c r="T1481" t="s">
        <v>0</v>
      </c>
    </row>
    <row r="1482" spans="1:20" x14ac:dyDescent="0.25">
      <c r="A1482">
        <v>21401007</v>
      </c>
      <c r="B1482" t="s">
        <v>4</v>
      </c>
      <c r="C1482" t="s">
        <v>14</v>
      </c>
      <c r="D1482">
        <v>83</v>
      </c>
      <c r="E1482">
        <v>85</v>
      </c>
      <c r="F1482">
        <v>2</v>
      </c>
      <c r="G1482">
        <v>4</v>
      </c>
      <c r="H1482" s="1">
        <v>7.4305555555555557E-3</v>
      </c>
      <c r="I1482">
        <v>2014</v>
      </c>
      <c r="J1482" t="s">
        <v>12</v>
      </c>
      <c r="K1482" s="2" t="str">
        <f>HYPERLINK("https://www.nba.com/stats/events?CFID=&amp;CFPARAMS=&amp;GameEventID=389&amp;GameID=0021401007&amp;Season=2014-15&amp;flag=1&amp;title=McCollum%2020'%20Step%20Back%20Jump%20Shot%20(4%20PTS)%20(Leonard%201%20AST)", "McCollum 20' Step Back Jump Shot (4 PTS) (Leonard 1 AST)")</f>
        <v>McCollum 20' Step Back Jump Shot (4 PTS) (Leonard 1 AST)</v>
      </c>
      <c r="L1482" s="2" t="str">
        <f>HYPERLINK("https://www.nba.com/game/...-vs-...-0021401007/play-by-play?watchFullGame=true", "POR vs MIA - Q4 10:42.00")</f>
        <v>POR vs MIA - Q4 10:42.00</v>
      </c>
      <c r="M1482">
        <v>20</v>
      </c>
      <c r="N1482">
        <v>-198</v>
      </c>
      <c r="O1482">
        <v>9</v>
      </c>
      <c r="P1482">
        <v>-198</v>
      </c>
      <c r="Q1482">
        <v>9</v>
      </c>
      <c r="R1482" t="s">
        <v>0</v>
      </c>
      <c r="S1482" t="s">
        <v>0</v>
      </c>
      <c r="T1482" t="s">
        <v>0</v>
      </c>
    </row>
    <row r="1483" spans="1:20" x14ac:dyDescent="0.25">
      <c r="A1483">
        <v>21401039</v>
      </c>
      <c r="B1483" t="s">
        <v>4</v>
      </c>
      <c r="C1483" t="s">
        <v>9</v>
      </c>
      <c r="D1483">
        <v>13</v>
      </c>
      <c r="E1483">
        <v>4</v>
      </c>
      <c r="F1483">
        <v>9</v>
      </c>
      <c r="G1483">
        <v>1</v>
      </c>
      <c r="H1483" s="1">
        <v>4.8842592592592592E-3</v>
      </c>
      <c r="I1483">
        <v>2014</v>
      </c>
      <c r="J1483" t="s">
        <v>7</v>
      </c>
      <c r="K1483" s="2" t="str">
        <f>HYPERLINK("https://www.nba.com/stats/events?CFID=&amp;CFPARAMS=&amp;GameEventID=34&amp;GameID=0021401039&amp;Season=2014-15&amp;flag=1&amp;title=Splitter%208'%20Jump%20Shot%20(6%20PTS)%20(Leonard%202%20AST)", "Splitter 8' Jump Shot (6 PTS) (Leonard 2 AST)")</f>
        <v>Splitter 8' Jump Shot (6 PTS) (Leonard 2 AST)</v>
      </c>
      <c r="L1483" s="2" t="str">
        <f>HYPERLINK("https://www.nba.com/game/...-vs-...-0021401039/play-by-play?watchFullGame=true", "SAS vs ATL - Q1 07:02.00")</f>
        <v>SAS vs ATL - Q1 07:02.00</v>
      </c>
      <c r="M1483">
        <v>8</v>
      </c>
      <c r="N1483">
        <v>-26</v>
      </c>
      <c r="O1483">
        <v>71</v>
      </c>
      <c r="P1483">
        <v>-26</v>
      </c>
      <c r="Q1483">
        <v>71</v>
      </c>
      <c r="R1483" t="s">
        <v>0</v>
      </c>
      <c r="S1483" t="s">
        <v>0</v>
      </c>
      <c r="T1483" t="s">
        <v>0</v>
      </c>
    </row>
    <row r="1484" spans="1:20" x14ac:dyDescent="0.25">
      <c r="A1484">
        <v>21401181</v>
      </c>
      <c r="B1484" t="s">
        <v>4</v>
      </c>
      <c r="C1484" t="s">
        <v>53</v>
      </c>
      <c r="D1484">
        <v>94</v>
      </c>
      <c r="E1484">
        <v>92</v>
      </c>
      <c r="F1484">
        <v>2</v>
      </c>
      <c r="G1484">
        <v>4</v>
      </c>
      <c r="H1484" s="1">
        <v>4.6180555555555558E-3</v>
      </c>
      <c r="I1484">
        <v>2014</v>
      </c>
      <c r="J1484" t="s">
        <v>7</v>
      </c>
      <c r="K1484" s="2" t="str">
        <f>HYPERLINK("https://www.nba.com/stats/events?CFID=&amp;CFPARAMS=&amp;GameEventID=525&amp;GameID=0021401181&amp;Season=2014-15&amp;flag=1&amp;title=Duncan%20%20Slam%20Dunk%20(27%20PTS)%20(Leonard%202%20AST)", "Duncan  Slam Dunk (27 PTS) (Leonard 2 AST)")</f>
        <v>Duncan  Slam Dunk (27 PTS) (Leonard 2 AST)</v>
      </c>
      <c r="L1484" s="2" t="str">
        <f>HYPERLINK("https://www.nba.com/game/...-vs-...-0021401181/play-by-play?watchFullGame=true", "SAS vs HOU - Q4 06:39.00")</f>
        <v>SAS vs HOU - Q4 06:39.00</v>
      </c>
      <c r="M1484">
        <v>0</v>
      </c>
      <c r="N1484">
        <v>0</v>
      </c>
      <c r="O1484">
        <v>1</v>
      </c>
      <c r="P1484">
        <v>0</v>
      </c>
      <c r="Q1484">
        <v>1</v>
      </c>
      <c r="R1484" t="s">
        <v>0</v>
      </c>
      <c r="S1484" t="s">
        <v>0</v>
      </c>
      <c r="T1484" t="s">
        <v>0</v>
      </c>
    </row>
    <row r="1485" spans="1:20" x14ac:dyDescent="0.25">
      <c r="A1485">
        <v>21500207</v>
      </c>
      <c r="B1485" t="s">
        <v>4</v>
      </c>
      <c r="C1485" t="s">
        <v>33</v>
      </c>
      <c r="D1485">
        <v>9</v>
      </c>
      <c r="E1485">
        <v>9</v>
      </c>
      <c r="F1485">
        <v>0</v>
      </c>
      <c r="G1485">
        <v>1</v>
      </c>
      <c r="H1485" s="1">
        <v>5.5902777777777773E-3</v>
      </c>
      <c r="I1485">
        <v>2015</v>
      </c>
      <c r="J1485" t="s">
        <v>7</v>
      </c>
      <c r="K1485" s="2" t="str">
        <f>HYPERLINK("https://www.nba.com/stats/events?CFID=&amp;CFPARAMS=&amp;GameEventID=29&amp;GameID=0021500207&amp;Season=2015-16&amp;flag=1&amp;title=Green%2010'%20Driving%20Floating%20Bank%20Jump%20Shot%20(2%20PTS)%20(Leonard%201%20AST)", "Green 10' Driving Floating Bank Jump Shot (2 PTS) (Leonard 1 AST)")</f>
        <v>Green 10' Driving Floating Bank Jump Shot (2 PTS) (Leonard 1 AST)</v>
      </c>
      <c r="L1485" s="2" t="str">
        <f>HYPERLINK("https://www.nba.com/game/...-vs-...-0021500207/play-by-play?watchFullGame=true", "SAS vs PHX - Q1 08:03.00")</f>
        <v>SAS vs PHX - Q1 08:03.00</v>
      </c>
      <c r="M1485">
        <v>10</v>
      </c>
      <c r="N1485">
        <v>-97</v>
      </c>
      <c r="O1485">
        <v>21</v>
      </c>
      <c r="P1485">
        <v>-97</v>
      </c>
      <c r="Q1485">
        <v>21</v>
      </c>
      <c r="R1485" t="s">
        <v>0</v>
      </c>
      <c r="S1485" t="s">
        <v>0</v>
      </c>
      <c r="T1485" t="s">
        <v>0</v>
      </c>
    </row>
    <row r="1486" spans="1:20" x14ac:dyDescent="0.25">
      <c r="A1486">
        <v>21500224</v>
      </c>
      <c r="B1486" t="s">
        <v>10</v>
      </c>
      <c r="C1486" t="s">
        <v>9</v>
      </c>
      <c r="D1486">
        <v>63</v>
      </c>
      <c r="E1486">
        <v>60</v>
      </c>
      <c r="F1486">
        <v>3</v>
      </c>
      <c r="G1486">
        <v>3</v>
      </c>
      <c r="H1486" s="1">
        <v>4.6296296296296296E-6</v>
      </c>
      <c r="I1486">
        <v>2015</v>
      </c>
      <c r="J1486" t="s">
        <v>7</v>
      </c>
      <c r="K1486" s="2" t="str">
        <f>HYPERLINK("https://www.nba.com/stats/events?CFID=&amp;CFPARAMS=&amp;GameEventID=371&amp;GameID=0021500224&amp;Season=2015-16&amp;flag=1&amp;title=West%2025'%203PT%20Jump%20Shot%20(6%20PTS)%20(Leonard%204%20AST)", "West 25' 3PT Jump Shot (6 PTS) (Leonard 4 AST)")</f>
        <v>West 25' 3PT Jump Shot (6 PTS) (Leonard 4 AST)</v>
      </c>
      <c r="L1486" s="2" t="str">
        <f>HYPERLINK("https://www.nba.com/game/...-vs-...-0021500224/play-by-play?watchFullGame=true", "SAS vs DAL - Q3 00:00.40")</f>
        <v>SAS vs DAL - Q3 00:00.40</v>
      </c>
      <c r="M1486">
        <v>25</v>
      </c>
      <c r="N1486">
        <v>-12</v>
      </c>
      <c r="O1486">
        <v>247</v>
      </c>
      <c r="P1486">
        <v>-12</v>
      </c>
      <c r="Q1486">
        <v>247</v>
      </c>
      <c r="R1486" t="s">
        <v>0</v>
      </c>
      <c r="S1486" t="s">
        <v>0</v>
      </c>
      <c r="T1486" t="s">
        <v>0</v>
      </c>
    </row>
    <row r="1487" spans="1:20" x14ac:dyDescent="0.25">
      <c r="A1487">
        <v>21500257</v>
      </c>
      <c r="B1487" t="s">
        <v>10</v>
      </c>
      <c r="C1487" t="s">
        <v>9</v>
      </c>
      <c r="D1487">
        <v>53</v>
      </c>
      <c r="E1487">
        <v>56</v>
      </c>
      <c r="F1487">
        <v>3</v>
      </c>
      <c r="G1487">
        <v>3</v>
      </c>
      <c r="H1487" s="1">
        <v>6.5162037037037037E-3</v>
      </c>
      <c r="I1487">
        <v>2015</v>
      </c>
      <c r="J1487" t="s">
        <v>7</v>
      </c>
      <c r="K1487" s="2" t="str">
        <f>HYPERLINK("https://www.nba.com/stats/events?CFID=&amp;CFPARAMS=&amp;GameEventID=259&amp;GameID=0021500257&amp;Season=2015-16&amp;flag=1&amp;title=Green%2025'%203PT%20Jump%20Shot%20(9%20PTS)%20(Leonard%202%20AST)", "Green 25' 3PT Jump Shot (9 PTS) (Leonard 2 AST)")</f>
        <v>Green 25' 3PT Jump Shot (9 PTS) (Leonard 2 AST)</v>
      </c>
      <c r="L1487" s="2" t="str">
        <f>HYPERLINK("https://www.nba.com/game/...-vs-...-0021500257/play-by-play?watchFullGame=true", "SAS vs CHI - Q3 09:23.00")</f>
        <v>SAS vs CHI - Q3 09:23.00</v>
      </c>
      <c r="M1487">
        <v>25</v>
      </c>
      <c r="N1487">
        <v>115</v>
      </c>
      <c r="O1487">
        <v>218</v>
      </c>
      <c r="P1487">
        <v>115</v>
      </c>
      <c r="Q1487">
        <v>218</v>
      </c>
      <c r="R1487" t="s">
        <v>0</v>
      </c>
      <c r="S1487" t="s">
        <v>0</v>
      </c>
      <c r="T1487" t="s">
        <v>0</v>
      </c>
    </row>
    <row r="1488" spans="1:20" x14ac:dyDescent="0.25">
      <c r="A1488">
        <v>21500275</v>
      </c>
      <c r="B1488" t="s">
        <v>10</v>
      </c>
      <c r="C1488" t="s">
        <v>9</v>
      </c>
      <c r="D1488">
        <v>59</v>
      </c>
      <c r="E1488">
        <v>45</v>
      </c>
      <c r="F1488">
        <v>14</v>
      </c>
      <c r="G1488">
        <v>3</v>
      </c>
      <c r="H1488" s="1">
        <v>4.9189814814814816E-3</v>
      </c>
      <c r="I1488">
        <v>2015</v>
      </c>
      <c r="J1488" t="s">
        <v>7</v>
      </c>
      <c r="K1488" s="2" t="str">
        <f>HYPERLINK("https://www.nba.com/stats/events?CFID=&amp;CFPARAMS=&amp;GameEventID=324&amp;GameID=0021500275&amp;Season=2015-16&amp;flag=1&amp;title=Parker%20%203PT%20Jump%20Shot%20(8%20PTS)%20(Leonard%203%20AST)", "Parker  3PT Jump Shot (8 PTS) (Leonard 3 AST)")</f>
        <v>Parker  3PT Jump Shot (8 PTS) (Leonard 3 AST)</v>
      </c>
      <c r="L1488" s="2" t="str">
        <f>HYPERLINK("https://www.nba.com/game/...-vs-...-0021500275/play-by-play?watchFullGame=true", "SAS vs MIL - Q3 07:05.00")</f>
        <v>SAS vs MIL - Q3 07:05.00</v>
      </c>
      <c r="M1488">
        <v>0</v>
      </c>
      <c r="N1488">
        <v>232</v>
      </c>
      <c r="O1488">
        <v>7</v>
      </c>
      <c r="P1488">
        <v>232</v>
      </c>
      <c r="Q1488">
        <v>7</v>
      </c>
      <c r="R1488" t="s">
        <v>0</v>
      </c>
      <c r="S1488" t="s">
        <v>0</v>
      </c>
      <c r="T1488" t="s">
        <v>0</v>
      </c>
    </row>
    <row r="1489" spans="1:20" x14ac:dyDescent="0.25">
      <c r="A1489">
        <v>21500416</v>
      </c>
      <c r="B1489" t="s">
        <v>4</v>
      </c>
      <c r="C1489" t="s">
        <v>24</v>
      </c>
      <c r="D1489">
        <v>79</v>
      </c>
      <c r="E1489">
        <v>70</v>
      </c>
      <c r="F1489">
        <v>9</v>
      </c>
      <c r="G1489">
        <v>3</v>
      </c>
      <c r="H1489" s="1">
        <v>1.0300925925925926E-4</v>
      </c>
      <c r="I1489">
        <v>2015</v>
      </c>
      <c r="J1489" t="s">
        <v>7</v>
      </c>
      <c r="K1489" s="2" t="str">
        <f>HYPERLINK("https://www.nba.com/stats/events?CFID=&amp;CFPARAMS=&amp;GameEventID=350&amp;GameID=0021500416&amp;Season=2015-16&amp;flag=1&amp;title=Mills%203'%20Cutting%20Finger%20Roll%20Layup%20Shot%20(10%20PTS)%20(Leonard%204%20AST)", "Mills 3' Cutting Finger Roll Layup Shot (10 PTS) (Leonard 4 AST)")</f>
        <v>Mills 3' Cutting Finger Roll Layup Shot (10 PTS) (Leonard 4 AST)</v>
      </c>
      <c r="L1489" s="2" t="str">
        <f>HYPERLINK("https://www.nba.com/game/...-vs-...-0021500416/play-by-play?watchFullGame=true", "SAS vs IND - Q3 00:08.90")</f>
        <v>SAS vs IND - Q3 00:08.90</v>
      </c>
      <c r="M1489">
        <v>3</v>
      </c>
      <c r="N1489">
        <v>-24</v>
      </c>
      <c r="O1489">
        <v>7</v>
      </c>
      <c r="P1489">
        <v>-24</v>
      </c>
      <c r="Q1489">
        <v>7</v>
      </c>
      <c r="R1489" t="s">
        <v>0</v>
      </c>
      <c r="S1489" t="s">
        <v>0</v>
      </c>
      <c r="T1489" t="s">
        <v>0</v>
      </c>
    </row>
    <row r="1490" spans="1:20" x14ac:dyDescent="0.25">
      <c r="A1490">
        <v>21600890</v>
      </c>
      <c r="B1490" t="s">
        <v>4</v>
      </c>
      <c r="C1490" t="s">
        <v>38</v>
      </c>
      <c r="D1490">
        <v>81</v>
      </c>
      <c r="E1490">
        <v>79</v>
      </c>
      <c r="F1490">
        <v>2</v>
      </c>
      <c r="G1490">
        <v>4</v>
      </c>
      <c r="H1490" s="1">
        <v>7.6967592592592591E-3</v>
      </c>
      <c r="I1490">
        <v>2016</v>
      </c>
      <c r="J1490" t="s">
        <v>12</v>
      </c>
      <c r="K1490" s="2" t="str">
        <f>HYPERLINK("https://www.nba.com/stats/events?CFID=&amp;CFPARAMS=&amp;GameEventID=386&amp;GameID=0021600890&amp;Season=2016-17&amp;flag=1&amp;title=McCollum%20%20Dunk%20(25%20PTS)%20(Leonard%203%20AST)", "McCollum  Dunk (25 PTS) (Leonard 3 AST)")</f>
        <v>McCollum  Dunk (25 PTS) (Leonard 3 AST)</v>
      </c>
      <c r="L1490" s="2" t="str">
        <f>HYPERLINK("https://www.nba.com/game/...-vs-...-0021600890/play-by-play?watchFullGame=true", "POR vs DET - Q4 11:05.00")</f>
        <v>POR vs DET - Q4 11:05.00</v>
      </c>
      <c r="M1490">
        <v>0</v>
      </c>
      <c r="N1490">
        <v>0</v>
      </c>
      <c r="O1490">
        <v>1</v>
      </c>
      <c r="P1490">
        <v>0</v>
      </c>
      <c r="Q1490">
        <v>1</v>
      </c>
      <c r="R1490" t="s">
        <v>0</v>
      </c>
      <c r="S1490" t="s">
        <v>0</v>
      </c>
      <c r="T1490" t="s">
        <v>0</v>
      </c>
    </row>
    <row r="1491" spans="1:20" x14ac:dyDescent="0.25">
      <c r="A1491">
        <v>21600962</v>
      </c>
      <c r="B1491" t="s">
        <v>10</v>
      </c>
      <c r="C1491" t="s">
        <v>9</v>
      </c>
      <c r="D1491">
        <v>41</v>
      </c>
      <c r="E1491">
        <v>48</v>
      </c>
      <c r="F1491">
        <v>7</v>
      </c>
      <c r="G1491">
        <v>2</v>
      </c>
      <c r="H1491" s="1">
        <v>2.3726851851851851E-3</v>
      </c>
      <c r="I1491">
        <v>2016</v>
      </c>
      <c r="J1491" t="s">
        <v>7</v>
      </c>
      <c r="K1491" s="2" t="str">
        <f>HYPERLINK("https://www.nba.com/stats/events?CFID=&amp;CFPARAMS=&amp;GameEventID=219&amp;GameID=0021600962&amp;Season=2016-17&amp;flag=1&amp;title=Gasol%2024'%203PT%20Jump%20Shot%20(14%20PTS)%20(Leonard%202%20AST)", "Gasol 24' 3PT Jump Shot (14 PTS) (Leonard 2 AST)")</f>
        <v>Gasol 24' 3PT Jump Shot (14 PTS) (Leonard 2 AST)</v>
      </c>
      <c r="L1491" s="2" t="str">
        <f>HYPERLINK("https://www.nba.com/game/...-vs-...-0021600962/play-by-play?watchFullGame=true", "SAS vs OKC - Q2 03:25.00")</f>
        <v>SAS vs OKC - Q2 03:25.00</v>
      </c>
      <c r="M1491">
        <v>24</v>
      </c>
      <c r="N1491">
        <v>-17</v>
      </c>
      <c r="O1491">
        <v>242</v>
      </c>
      <c r="P1491">
        <v>-17</v>
      </c>
      <c r="Q1491">
        <v>242</v>
      </c>
      <c r="R1491" t="s">
        <v>0</v>
      </c>
      <c r="S1491" t="s">
        <v>0</v>
      </c>
      <c r="T1491" t="s">
        <v>0</v>
      </c>
    </row>
    <row r="1492" spans="1:20" x14ac:dyDescent="0.25">
      <c r="A1492">
        <v>21601118</v>
      </c>
      <c r="B1492" t="s">
        <v>4</v>
      </c>
      <c r="C1492" t="s">
        <v>9</v>
      </c>
      <c r="D1492">
        <v>52</v>
      </c>
      <c r="E1492">
        <v>45</v>
      </c>
      <c r="F1492">
        <v>7</v>
      </c>
      <c r="G1492">
        <v>2</v>
      </c>
      <c r="H1492" s="1">
        <v>1.5046296296296296E-3</v>
      </c>
      <c r="I1492">
        <v>2016</v>
      </c>
      <c r="J1492" t="s">
        <v>7</v>
      </c>
      <c r="K1492" s="2" t="str">
        <f>HYPERLINK("https://www.nba.com/stats/events?CFID=&amp;CFPARAMS=&amp;GameEventID=234&amp;GameID=0021601118&amp;Season=2016-17&amp;flag=1&amp;title=Aldridge%2016'%20Jump%20Shot%20(12%20PTS)%20(Leonard%204%20AST)", "Aldridge 16' Jump Shot (12 PTS) (Leonard 4 AST)")</f>
        <v>Aldridge 16' Jump Shot (12 PTS) (Leonard 4 AST)</v>
      </c>
      <c r="L1492" s="2" t="str">
        <f>HYPERLINK("https://www.nba.com/game/...-vs-...-0021601118/play-by-play?watchFullGame=true", "SAS vs GSW - Q2 02:10.00")</f>
        <v>SAS vs GSW - Q2 02:10.00</v>
      </c>
      <c r="M1492">
        <v>16</v>
      </c>
      <c r="N1492">
        <v>163</v>
      </c>
      <c r="O1492">
        <v>11</v>
      </c>
      <c r="P1492">
        <v>163</v>
      </c>
      <c r="Q1492">
        <v>11</v>
      </c>
      <c r="R1492" t="s">
        <v>0</v>
      </c>
      <c r="S1492" t="s">
        <v>0</v>
      </c>
      <c r="T1492" t="s">
        <v>0</v>
      </c>
    </row>
    <row r="1493" spans="1:20" x14ac:dyDescent="0.25">
      <c r="A1493">
        <v>21700470</v>
      </c>
      <c r="B1493" t="s">
        <v>4</v>
      </c>
      <c r="C1493" t="s">
        <v>38</v>
      </c>
      <c r="D1493">
        <v>29</v>
      </c>
      <c r="E1493">
        <v>35</v>
      </c>
      <c r="F1493">
        <v>6</v>
      </c>
      <c r="G1493">
        <v>2</v>
      </c>
      <c r="H1493" s="1">
        <v>4.9652777777777777E-3</v>
      </c>
      <c r="I1493">
        <v>2017</v>
      </c>
      <c r="J1493" t="s">
        <v>7</v>
      </c>
      <c r="K1493" s="2" t="str">
        <f>HYPERLINK("https://www.nba.com/stats/events?CFID=&amp;CFPARAMS=&amp;GameEventID=191&amp;GameID=0021700470&amp;Season=2017-18&amp;flag=1&amp;title=Lauvergne%201'%20Dunk%20(8%20PTS)%20(Leonard%201%20AST)", "Lauvergne 1' Dunk (8 PTS) (Leonard 1 AST)")</f>
        <v>Lauvergne 1' Dunk (8 PTS) (Leonard 1 AST)</v>
      </c>
      <c r="L1493" s="2" t="str">
        <f>HYPERLINK("https://www.nba.com/game/...-vs-...-0021700470/play-by-play?watchFullGame=true", "SAS vs UTA - Q2 07:09.00")</f>
        <v>SAS vs UTA - Q2 07:09.00</v>
      </c>
      <c r="M1493">
        <v>1</v>
      </c>
      <c r="N1493">
        <v>-2</v>
      </c>
      <c r="O1493">
        <v>7</v>
      </c>
      <c r="P1493">
        <v>-2</v>
      </c>
      <c r="Q1493">
        <v>7</v>
      </c>
      <c r="R1493" t="s">
        <v>0</v>
      </c>
      <c r="S1493" t="s">
        <v>0</v>
      </c>
      <c r="T1493" t="s">
        <v>0</v>
      </c>
    </row>
    <row r="1494" spans="1:20" x14ac:dyDescent="0.25">
      <c r="A1494">
        <v>21700530</v>
      </c>
      <c r="B1494" t="s">
        <v>4</v>
      </c>
      <c r="C1494" t="s">
        <v>19</v>
      </c>
      <c r="D1494">
        <v>2</v>
      </c>
      <c r="E1494">
        <v>6</v>
      </c>
      <c r="F1494">
        <v>4</v>
      </c>
      <c r="G1494">
        <v>1</v>
      </c>
      <c r="H1494" s="1">
        <v>7.2337962962962963E-3</v>
      </c>
      <c r="I1494">
        <v>2017</v>
      </c>
      <c r="J1494" t="s">
        <v>7</v>
      </c>
      <c r="K1494" s="2" t="str">
        <f>HYPERLINK("https://www.nba.com/stats/events?CFID=&amp;CFPARAMS=&amp;GameEventID=18&amp;GameID=0021700530&amp;Season=2017-18&amp;flag=1&amp;title=Gasol%2015'%20Pullup%20Jump%20Shot%20(2%20PTS)%20(Leonard%201%20AST)", "Gasol 15' Pullup Jump Shot (2 PTS) (Leonard 1 AST)")</f>
        <v>Gasol 15' Pullup Jump Shot (2 PTS) (Leonard 1 AST)</v>
      </c>
      <c r="L1494" s="2" t="str">
        <f>HYPERLINK("https://www.nba.com/game/...-vs-...-0021700530/play-by-play?watchFullGame=true", "SAS vs DET - Q1 10:25.00")</f>
        <v>SAS vs DET - Q1 10:25.00</v>
      </c>
      <c r="M1494">
        <v>15</v>
      </c>
      <c r="N1494">
        <v>145</v>
      </c>
      <c r="O1494">
        <v>54</v>
      </c>
      <c r="P1494">
        <v>145</v>
      </c>
      <c r="Q1494">
        <v>54</v>
      </c>
      <c r="R1494" t="s">
        <v>0</v>
      </c>
      <c r="S1494" t="s">
        <v>0</v>
      </c>
      <c r="T1494" t="s">
        <v>0</v>
      </c>
    </row>
    <row r="1495" spans="1:20" x14ac:dyDescent="0.25">
      <c r="A1495">
        <v>21700550</v>
      </c>
      <c r="B1495" t="s">
        <v>4</v>
      </c>
      <c r="C1495" t="s">
        <v>9</v>
      </c>
      <c r="D1495">
        <v>2</v>
      </c>
      <c r="E1495">
        <v>0</v>
      </c>
      <c r="F1495">
        <v>2</v>
      </c>
      <c r="G1495">
        <v>1</v>
      </c>
      <c r="H1495" s="1">
        <v>7.8703703703703696E-3</v>
      </c>
      <c r="I1495">
        <v>2017</v>
      </c>
      <c r="J1495" t="s">
        <v>7</v>
      </c>
      <c r="K1495" s="2" t="str">
        <f>HYPERLINK("https://www.nba.com/stats/events?CFID=&amp;CFPARAMS=&amp;GameEventID=9&amp;GameID=0021700550&amp;Season=2017-18&amp;flag=1&amp;title=Aldridge%2022'%20Jump%20Shot%20(2%20PTS)%20(Leonard%201%20AST)", "Aldridge 22' Jump Shot (2 PTS) (Leonard 1 AST)")</f>
        <v>Aldridge 22' Jump Shot (2 PTS) (Leonard 1 AST)</v>
      </c>
      <c r="L1495" s="2" t="str">
        <f>HYPERLINK("https://www.nba.com/game/...-vs-...-0021700550/play-by-play?watchFullGame=true", "SAS vs NYK - Q1 11:20.00")</f>
        <v>SAS vs NYK - Q1 11:20.00</v>
      </c>
      <c r="M1495">
        <v>22</v>
      </c>
      <c r="N1495">
        <v>-73</v>
      </c>
      <c r="O1495">
        <v>205</v>
      </c>
      <c r="P1495">
        <v>-73</v>
      </c>
      <c r="Q1495">
        <v>205</v>
      </c>
      <c r="R1495" t="s">
        <v>0</v>
      </c>
      <c r="S1495" t="s">
        <v>0</v>
      </c>
      <c r="T1495" t="s">
        <v>0</v>
      </c>
    </row>
    <row r="1496" spans="1:20" x14ac:dyDescent="0.25">
      <c r="A1496">
        <v>21700633</v>
      </c>
      <c r="B1496" t="s">
        <v>4</v>
      </c>
      <c r="C1496" t="s">
        <v>28</v>
      </c>
      <c r="D1496">
        <v>4</v>
      </c>
      <c r="E1496">
        <v>2</v>
      </c>
      <c r="F1496">
        <v>2</v>
      </c>
      <c r="G1496">
        <v>1</v>
      </c>
      <c r="H1496" s="1">
        <v>6.9560185185185185E-3</v>
      </c>
      <c r="I1496">
        <v>2017</v>
      </c>
      <c r="J1496" t="s">
        <v>7</v>
      </c>
      <c r="K1496" s="2" t="str">
        <f>HYPERLINK("https://www.nba.com/stats/events?CFID=&amp;CFPARAMS=&amp;GameEventID=23&amp;GameID=0021700633&amp;Season=2017-18&amp;flag=1&amp;title=Green%207'%20Driving%20Finger%20Roll%20Layup%20(2%20PTS)%20(Leonard%202%20AST)", "Green 7' Driving Finger Roll Layup (2 PTS) (Leonard 2 AST)")</f>
        <v>Green 7' Driving Finger Roll Layup (2 PTS) (Leonard 2 AST)</v>
      </c>
      <c r="L1496" s="2" t="str">
        <f>HYPERLINK("https://www.nba.com/game/...-vs-...-0021700633/play-by-play?watchFullGame=true", "SAS vs DEN - Q1 10:01.00")</f>
        <v>SAS vs DEN - Q1 10:01.00</v>
      </c>
      <c r="M1496">
        <v>7</v>
      </c>
      <c r="N1496">
        <v>4</v>
      </c>
      <c r="O1496">
        <v>69</v>
      </c>
      <c r="P1496">
        <v>4</v>
      </c>
      <c r="Q1496">
        <v>69</v>
      </c>
      <c r="R1496" t="s">
        <v>0</v>
      </c>
      <c r="S1496" t="s">
        <v>0</v>
      </c>
      <c r="T1496" t="s">
        <v>0</v>
      </c>
    </row>
    <row r="1497" spans="1:20" x14ac:dyDescent="0.25">
      <c r="A1497">
        <v>21800123</v>
      </c>
      <c r="B1497" t="s">
        <v>4</v>
      </c>
      <c r="C1497" t="s">
        <v>55</v>
      </c>
      <c r="D1497">
        <v>69</v>
      </c>
      <c r="E1497">
        <v>61</v>
      </c>
      <c r="F1497">
        <v>8</v>
      </c>
      <c r="G1497">
        <v>3</v>
      </c>
      <c r="H1497" s="1">
        <v>2.3842592592592591E-3</v>
      </c>
      <c r="I1497">
        <v>2018</v>
      </c>
      <c r="J1497" t="s">
        <v>1</v>
      </c>
      <c r="K1497" s="2" t="str">
        <f>HYPERLINK("https://www.nba.com/stats/events?CFID=&amp;CFPARAMS=&amp;GameEventID=478&amp;GameID=0021800123&amp;Season=2018-19&amp;flag=1&amp;title=Anunoby%202'%20Running%20Reverse%20Dunk%20Shot%20(2%20PTS)%20(Leonard%204%20AST)", "Anunoby 2' Running Reverse Dunk Shot (2 PTS) (Leonard 4 AST)")</f>
        <v>Anunoby 2' Running Reverse Dunk Shot (2 PTS) (Leonard 4 AST)</v>
      </c>
      <c r="L1497" s="2" t="str">
        <f>HYPERLINK("https://www.nba.com/game/...-vs-...-0021800123/play-by-play?watchFullGame=true", "TOR vs PHX - Q3 03:26.00")</f>
        <v>TOR vs PHX - Q3 03:26.00</v>
      </c>
      <c r="M1497">
        <v>2</v>
      </c>
      <c r="N1497">
        <v>14</v>
      </c>
      <c r="O1497">
        <v>7</v>
      </c>
      <c r="P1497">
        <v>14</v>
      </c>
      <c r="Q1497">
        <v>7</v>
      </c>
      <c r="R1497" t="s">
        <v>0</v>
      </c>
      <c r="S1497" t="s">
        <v>0</v>
      </c>
      <c r="T1497" t="s">
        <v>0</v>
      </c>
    </row>
    <row r="1498" spans="1:20" x14ac:dyDescent="0.25">
      <c r="A1498">
        <v>21400152</v>
      </c>
      <c r="B1498" t="s">
        <v>10</v>
      </c>
      <c r="C1498" t="s">
        <v>9</v>
      </c>
      <c r="D1498">
        <v>39</v>
      </c>
      <c r="E1498">
        <v>23</v>
      </c>
      <c r="F1498">
        <v>16</v>
      </c>
      <c r="G1498">
        <v>2</v>
      </c>
      <c r="H1498" s="1">
        <v>4.3981481481481484E-3</v>
      </c>
      <c r="I1498">
        <v>2014</v>
      </c>
      <c r="J1498" t="s">
        <v>7</v>
      </c>
      <c r="K1498" s="2" t="str">
        <f>HYPERLINK("https://www.nba.com/stats/events?CFID=&amp;CFPARAMS=&amp;GameEventID=173&amp;GameID=0021400152&amp;Season=2014-15&amp;flag=1&amp;title=Parker%20%203PT%20Jump%20Shot%20(5%20PTS)%20(Leonard%202%20AST)", "Parker  3PT Jump Shot (5 PTS) (Leonard 2 AST)")</f>
        <v>Parker  3PT Jump Shot (5 PTS) (Leonard 2 AST)</v>
      </c>
      <c r="L1498" s="2" t="str">
        <f>HYPERLINK("https://www.nba.com/game/...-vs-...-0021400152/play-by-play?watchFullGame=true", "SAS vs PHI - Q2 06:20.00")</f>
        <v>SAS vs PHI - Q2 06:20.00</v>
      </c>
      <c r="M1498">
        <v>0</v>
      </c>
      <c r="N1498">
        <v>231</v>
      </c>
      <c r="O1498">
        <v>20</v>
      </c>
      <c r="P1498">
        <v>231</v>
      </c>
      <c r="Q1498">
        <v>20</v>
      </c>
      <c r="R1498" t="s">
        <v>0</v>
      </c>
      <c r="S1498" t="s">
        <v>0</v>
      </c>
      <c r="T1498" t="s">
        <v>0</v>
      </c>
    </row>
    <row r="1499" spans="1:20" x14ac:dyDescent="0.25">
      <c r="A1499">
        <v>21400328</v>
      </c>
      <c r="B1499" t="s">
        <v>10</v>
      </c>
      <c r="C1499" t="s">
        <v>9</v>
      </c>
      <c r="D1499">
        <v>33</v>
      </c>
      <c r="E1499">
        <v>40</v>
      </c>
      <c r="F1499">
        <v>7</v>
      </c>
      <c r="G1499">
        <v>2</v>
      </c>
      <c r="H1499" s="1">
        <v>5.2314814814814811E-3</v>
      </c>
      <c r="I1499">
        <v>2014</v>
      </c>
      <c r="J1499" t="s">
        <v>12</v>
      </c>
      <c r="K1499" s="2" t="str">
        <f>HYPERLINK("https://www.nba.com/stats/events?CFID=&amp;CFPARAMS=&amp;GameEventID=171&amp;GameID=0021400328&amp;Season=2014-15&amp;flag=1&amp;title=Lillard%20%203PT%20Jump%20Shot%20(6%20PTS)%20(Leonard%201%20AST)", "Lillard  3PT Jump Shot (6 PTS) (Leonard 1 AST)")</f>
        <v>Lillard  3PT Jump Shot (6 PTS) (Leonard 1 AST)</v>
      </c>
      <c r="L1499" s="2" t="str">
        <f>HYPERLINK("https://www.nba.com/game/...-vs-...-0021400328/play-by-play?watchFullGame=true", "POR vs CHI - Q2 07:32.00")</f>
        <v>POR vs CHI - Q2 07:32.00</v>
      </c>
      <c r="M1499">
        <v>0</v>
      </c>
      <c r="N1499">
        <v>-226</v>
      </c>
      <c r="O1499">
        <v>1</v>
      </c>
      <c r="P1499">
        <v>-226</v>
      </c>
      <c r="Q1499">
        <v>1</v>
      </c>
      <c r="R1499" t="s">
        <v>0</v>
      </c>
      <c r="S1499" t="s">
        <v>0</v>
      </c>
      <c r="T1499" t="s">
        <v>0</v>
      </c>
    </row>
    <row r="1500" spans="1:20" x14ac:dyDescent="0.25">
      <c r="A1500">
        <v>21400583</v>
      </c>
      <c r="B1500" t="s">
        <v>4</v>
      </c>
      <c r="C1500" t="s">
        <v>47</v>
      </c>
      <c r="D1500">
        <v>78</v>
      </c>
      <c r="E1500">
        <v>74</v>
      </c>
      <c r="F1500">
        <v>4</v>
      </c>
      <c r="G1500">
        <v>4</v>
      </c>
      <c r="H1500" s="1">
        <v>6.4930555555555557E-3</v>
      </c>
      <c r="I1500">
        <v>2014</v>
      </c>
      <c r="J1500" t="s">
        <v>12</v>
      </c>
      <c r="K1500" s="2" t="str">
        <f>HYPERLINK("https://www.nba.com/stats/events?CFID=&amp;CFPARAMS=&amp;GameEventID=419&amp;GameID=0021400583&amp;Season=2014-15&amp;flag=1&amp;title=Kaman%202'%20Driving%20Slam%20Dunk%20(13%20PTS)%20(Leonard%203%20AST)", "Kaman 2' Driving Slam Dunk (13 PTS) (Leonard 3 AST)")</f>
        <v>Kaman 2' Driving Slam Dunk (13 PTS) (Leonard 3 AST)</v>
      </c>
      <c r="L1500" s="2" t="str">
        <f>HYPERLINK("https://www.nba.com/game/...-vs-...-0021400583/play-by-play?watchFullGame=true", "POR vs LAC - Q4 09:21.00")</f>
        <v>POR vs LAC - Q4 09:21.00</v>
      </c>
      <c r="M1500">
        <v>2</v>
      </c>
      <c r="N1500">
        <v>-18</v>
      </c>
      <c r="O1500">
        <v>1</v>
      </c>
      <c r="P1500">
        <v>-18</v>
      </c>
      <c r="Q1500">
        <v>1</v>
      </c>
      <c r="R1500" t="s">
        <v>0</v>
      </c>
      <c r="S1500" t="s">
        <v>0</v>
      </c>
      <c r="T1500" t="s">
        <v>0</v>
      </c>
    </row>
    <row r="1501" spans="1:20" x14ac:dyDescent="0.25">
      <c r="A1501">
        <v>21400634</v>
      </c>
      <c r="B1501" t="s">
        <v>10</v>
      </c>
      <c r="C1501" t="s">
        <v>9</v>
      </c>
      <c r="D1501">
        <v>74</v>
      </c>
      <c r="E1501">
        <v>86</v>
      </c>
      <c r="F1501">
        <v>12</v>
      </c>
      <c r="G1501">
        <v>3</v>
      </c>
      <c r="H1501" s="1">
        <v>1.0300925925925926E-3</v>
      </c>
      <c r="I1501">
        <v>2014</v>
      </c>
      <c r="J1501" t="s">
        <v>12</v>
      </c>
      <c r="K1501" s="2" t="str">
        <f>HYPERLINK("https://www.nba.com/stats/events?CFID=&amp;CFPARAMS=&amp;GameEventID=362&amp;GameID=0021400634&amp;Season=2014-15&amp;flag=1&amp;title=Matthews%2025'%203PT%20Jump%20Shot%20(15%20PTS)%20(Leonard%201%20AST)", "Matthews 25' 3PT Jump Shot (15 PTS) (Leonard 1 AST)")</f>
        <v>Matthews 25' 3PT Jump Shot (15 PTS) (Leonard 1 AST)</v>
      </c>
      <c r="L1501" s="2" t="str">
        <f>HYPERLINK("https://www.nba.com/game/...-vs-...-0021400634/play-by-play?watchFullGame=true", "POR vs PHX - Q3 01:29.00")</f>
        <v>POR vs PHX - Q3 01:29.00</v>
      </c>
      <c r="M1501">
        <v>25</v>
      </c>
      <c r="N1501">
        <v>121</v>
      </c>
      <c r="O1501">
        <v>224</v>
      </c>
      <c r="P1501">
        <v>121</v>
      </c>
      <c r="Q1501">
        <v>224</v>
      </c>
      <c r="R1501" t="s">
        <v>0</v>
      </c>
      <c r="S1501" t="s">
        <v>0</v>
      </c>
      <c r="T1501" t="s">
        <v>0</v>
      </c>
    </row>
    <row r="1502" spans="1:20" x14ac:dyDescent="0.25">
      <c r="A1502">
        <v>21400668</v>
      </c>
      <c r="B1502" t="s">
        <v>4</v>
      </c>
      <c r="C1502" t="s">
        <v>5</v>
      </c>
      <c r="D1502">
        <v>33</v>
      </c>
      <c r="E1502">
        <v>30</v>
      </c>
      <c r="F1502">
        <v>3</v>
      </c>
      <c r="G1502">
        <v>2</v>
      </c>
      <c r="H1502" s="1">
        <v>5.9375000000000001E-3</v>
      </c>
      <c r="I1502">
        <v>2014</v>
      </c>
      <c r="J1502" t="s">
        <v>12</v>
      </c>
      <c r="K1502" s="2" t="str">
        <f>HYPERLINK("https://www.nba.com/stats/events?CFID=&amp;CFPARAMS=&amp;GameEventID=170&amp;GameID=0021400668&amp;Season=2014-15&amp;flag=1&amp;title=McCollum%202'%20Layup%20(13%20PTS)%20(Leonard%202%20AST)", "McCollum 2' Layup (13 PTS) (Leonard 2 AST)")</f>
        <v>McCollum 2' Layup (13 PTS) (Leonard 2 AST)</v>
      </c>
      <c r="L1502" s="2" t="str">
        <f>HYPERLINK("https://www.nba.com/game/...-vs-...-0021400668/play-by-play?watchFullGame=true", "POR vs BKN - Q2 08:33.00")</f>
        <v>POR vs BKN - Q2 08:33.00</v>
      </c>
      <c r="M1502">
        <v>2</v>
      </c>
      <c r="N1502">
        <v>-19</v>
      </c>
      <c r="O1502">
        <v>-5</v>
      </c>
      <c r="P1502">
        <v>-19</v>
      </c>
      <c r="Q1502">
        <v>-5</v>
      </c>
      <c r="R1502" t="s">
        <v>0</v>
      </c>
      <c r="S1502" t="s">
        <v>0</v>
      </c>
      <c r="T1502" t="s">
        <v>0</v>
      </c>
    </row>
    <row r="1503" spans="1:20" x14ac:dyDescent="0.25">
      <c r="A1503">
        <v>21400853</v>
      </c>
      <c r="B1503" t="s">
        <v>4</v>
      </c>
      <c r="C1503" t="s">
        <v>9</v>
      </c>
      <c r="D1503">
        <v>43</v>
      </c>
      <c r="E1503">
        <v>48</v>
      </c>
      <c r="F1503">
        <v>5</v>
      </c>
      <c r="G1503">
        <v>2</v>
      </c>
      <c r="H1503" s="1">
        <v>2.0370370370370369E-3</v>
      </c>
      <c r="I1503">
        <v>2014</v>
      </c>
      <c r="J1503" t="s">
        <v>7</v>
      </c>
      <c r="K1503" s="2" t="str">
        <f>HYPERLINK("https://www.nba.com/stats/events?CFID=&amp;CFPARAMS=&amp;GameEventID=172&amp;GameID=0021400853&amp;Season=2014-15&amp;flag=1&amp;title=Duncan%2021'%20Jump%20Shot%20(14%20PTS)%20(Leonard%202%20AST)", "Duncan 21' Jump Shot (14 PTS) (Leonard 2 AST)")</f>
        <v>Duncan 21' Jump Shot (14 PTS) (Leonard 2 AST)</v>
      </c>
      <c r="L1503" s="2" t="str">
        <f>HYPERLINK("https://www.nba.com/game/...-vs-...-0021400853/play-by-play?watchFullGame=true", "SAS vs POR - Q2 02:56.00")</f>
        <v>SAS vs POR - Q2 02:56.00</v>
      </c>
      <c r="M1503">
        <v>21</v>
      </c>
      <c r="N1503">
        <v>-23</v>
      </c>
      <c r="O1503">
        <v>209</v>
      </c>
      <c r="P1503">
        <v>-23</v>
      </c>
      <c r="Q1503">
        <v>209</v>
      </c>
      <c r="R1503" t="s">
        <v>0</v>
      </c>
      <c r="S1503" t="s">
        <v>0</v>
      </c>
      <c r="T1503" t="s">
        <v>0</v>
      </c>
    </row>
    <row r="1504" spans="1:20" x14ac:dyDescent="0.25">
      <c r="A1504">
        <v>21400906</v>
      </c>
      <c r="B1504" t="s">
        <v>4</v>
      </c>
      <c r="C1504" t="s">
        <v>52</v>
      </c>
      <c r="D1504">
        <v>22</v>
      </c>
      <c r="E1504">
        <v>21</v>
      </c>
      <c r="F1504">
        <v>1</v>
      </c>
      <c r="G1504">
        <v>1</v>
      </c>
      <c r="H1504" s="1">
        <v>1.4814814814814814E-3</v>
      </c>
      <c r="I1504">
        <v>2014</v>
      </c>
      <c r="J1504" t="s">
        <v>7</v>
      </c>
      <c r="K1504" s="2" t="str">
        <f>HYPERLINK("https://www.nba.com/stats/events?CFID=&amp;CFPARAMS=&amp;GameEventID=94&amp;GameID=0021400906&amp;Season=2014-15&amp;flag=1&amp;title=Baynes%204'%20Running%20Hook%20Shot%20(2%20PTS)%20(Leonard%201%20AST)", "Baynes 4' Running Hook Shot (2 PTS) (Leonard 1 AST)")</f>
        <v>Baynes 4' Running Hook Shot (2 PTS) (Leonard 1 AST)</v>
      </c>
      <c r="L1504" s="2" t="str">
        <f>HYPERLINK("https://www.nba.com/game/...-vs-...-0021400906/play-by-play?watchFullGame=true", "SAS vs SAC - Q1 02:08.00")</f>
        <v>SAS vs SAC - Q1 02:08.00</v>
      </c>
      <c r="M1504">
        <v>4</v>
      </c>
      <c r="N1504">
        <v>13</v>
      </c>
      <c r="O1504">
        <v>41</v>
      </c>
      <c r="P1504">
        <v>13</v>
      </c>
      <c r="Q1504">
        <v>41</v>
      </c>
      <c r="R1504" t="s">
        <v>0</v>
      </c>
      <c r="S1504" t="s">
        <v>0</v>
      </c>
      <c r="T1504" t="s">
        <v>0</v>
      </c>
    </row>
    <row r="1505" spans="1:20" x14ac:dyDescent="0.25">
      <c r="A1505">
        <v>21400921</v>
      </c>
      <c r="B1505" t="s">
        <v>10</v>
      </c>
      <c r="C1505" t="s">
        <v>9</v>
      </c>
      <c r="D1505">
        <v>113</v>
      </c>
      <c r="E1505">
        <v>107</v>
      </c>
      <c r="F1505">
        <v>6</v>
      </c>
      <c r="G1505">
        <v>4</v>
      </c>
      <c r="H1505" s="1">
        <v>1.5856481481481481E-3</v>
      </c>
      <c r="I1505">
        <v>2014</v>
      </c>
      <c r="J1505" t="s">
        <v>7</v>
      </c>
      <c r="K1505" s="2" t="str">
        <f>HYPERLINK("https://www.nba.com/stats/events?CFID=&amp;CFPARAMS=&amp;GameEventID=496&amp;GameID=0021400921&amp;Season=2014-15&amp;flag=1&amp;title=Green%2025'%203PT%20Jump%20Shot%20(11%20PTS)%20(Leonard%204%20AST)", "Green 25' 3PT Jump Shot (11 PTS) (Leonard 4 AST)")</f>
        <v>Green 25' 3PT Jump Shot (11 PTS) (Leonard 4 AST)</v>
      </c>
      <c r="L1505" s="2" t="str">
        <f>HYPERLINK("https://www.nba.com/game/...-vs-...-0021400921/play-by-play?watchFullGame=true", "SAS vs DEN - Q4 02:17.00")</f>
        <v>SAS vs DEN - Q4 02:17.00</v>
      </c>
      <c r="M1505">
        <v>25</v>
      </c>
      <c r="N1505">
        <v>218</v>
      </c>
      <c r="O1505">
        <v>131</v>
      </c>
      <c r="P1505">
        <v>218</v>
      </c>
      <c r="Q1505">
        <v>131</v>
      </c>
      <c r="R1505" t="s">
        <v>0</v>
      </c>
      <c r="S1505" t="s">
        <v>0</v>
      </c>
      <c r="T1505" t="s">
        <v>0</v>
      </c>
    </row>
    <row r="1506" spans="1:20" x14ac:dyDescent="0.25">
      <c r="A1506">
        <v>21400291</v>
      </c>
      <c r="B1506" t="s">
        <v>4</v>
      </c>
      <c r="C1506" t="s">
        <v>26</v>
      </c>
      <c r="D1506">
        <v>81</v>
      </c>
      <c r="E1506">
        <v>61</v>
      </c>
      <c r="F1506">
        <v>20</v>
      </c>
      <c r="G1506">
        <v>3</v>
      </c>
      <c r="H1506" s="1">
        <v>4.8495370370370368E-3</v>
      </c>
      <c r="I1506">
        <v>2014</v>
      </c>
      <c r="J1506" t="s">
        <v>7</v>
      </c>
      <c r="K1506" s="2" t="str">
        <f>HYPERLINK("https://www.nba.com/stats/events?CFID=&amp;CFPARAMS=&amp;GameEventID=327&amp;GameID=0021400291&amp;Season=2014-15&amp;flag=1&amp;title=Diaw%202'%20Reverse%20Layup%20(6%20PTS)%20(Leonard%204%20AST)", "Diaw 2' Reverse Layup (6 PTS) (Leonard 4 AST)")</f>
        <v>Diaw 2' Reverse Layup (6 PTS) (Leonard 4 AST)</v>
      </c>
      <c r="L1506" s="2" t="str">
        <f>HYPERLINK("https://www.nba.com/game/...-vs-...-0021400291/play-by-play?watchFullGame=true", "SAS vs MIN - Q3 06:59.00")</f>
        <v>SAS vs MIN - Q3 06:59.00</v>
      </c>
      <c r="M1506">
        <v>2</v>
      </c>
      <c r="N1506">
        <v>24</v>
      </c>
      <c r="O1506">
        <v>0</v>
      </c>
      <c r="P1506">
        <v>24</v>
      </c>
      <c r="Q1506">
        <v>0</v>
      </c>
      <c r="R1506" t="s">
        <v>0</v>
      </c>
      <c r="S1506" t="s">
        <v>0</v>
      </c>
      <c r="T1506" t="s">
        <v>0</v>
      </c>
    </row>
    <row r="1507" spans="1:20" x14ac:dyDescent="0.25">
      <c r="A1507">
        <v>21400291</v>
      </c>
      <c r="B1507" t="s">
        <v>10</v>
      </c>
      <c r="C1507" t="s">
        <v>9</v>
      </c>
      <c r="D1507">
        <v>48</v>
      </c>
      <c r="E1507">
        <v>38</v>
      </c>
      <c r="F1507">
        <v>10</v>
      </c>
      <c r="G1507">
        <v>2</v>
      </c>
      <c r="H1507" s="1">
        <v>4.1319444444444442E-3</v>
      </c>
      <c r="I1507">
        <v>2014</v>
      </c>
      <c r="J1507" t="s">
        <v>7</v>
      </c>
      <c r="K1507" s="2" t="str">
        <f>HYPERLINK("https://www.nba.com/stats/events?CFID=&amp;CFPARAMS=&amp;GameEventID=195&amp;GameID=0021400291&amp;Season=2014-15&amp;flag=1&amp;title=Belinelli%2027'%203PT%20Jump%20Shot%20(14%20PTS)%20(Leonard%202%20AST)", "Belinelli 27' 3PT Jump Shot (14 PTS) (Leonard 2 AST)")</f>
        <v>Belinelli 27' 3PT Jump Shot (14 PTS) (Leonard 2 AST)</v>
      </c>
      <c r="L1507" s="2" t="str">
        <f>HYPERLINK("https://www.nba.com/game/...-vs-...-0021400291/play-by-play?watchFullGame=true", "SAS vs MIN - Q2 05:57.00")</f>
        <v>SAS vs MIN - Q2 05:57.00</v>
      </c>
      <c r="M1507">
        <v>27</v>
      </c>
      <c r="N1507">
        <v>226</v>
      </c>
      <c r="O1507">
        <v>142</v>
      </c>
      <c r="P1507">
        <v>226</v>
      </c>
      <c r="Q1507">
        <v>142</v>
      </c>
      <c r="R1507" t="s">
        <v>0</v>
      </c>
      <c r="S1507" t="s">
        <v>0</v>
      </c>
      <c r="T1507" t="s">
        <v>0</v>
      </c>
    </row>
    <row r="1508" spans="1:20" x14ac:dyDescent="0.25">
      <c r="A1508">
        <v>21400361</v>
      </c>
      <c r="B1508" t="s">
        <v>4</v>
      </c>
      <c r="C1508" t="s">
        <v>38</v>
      </c>
      <c r="D1508">
        <v>2</v>
      </c>
      <c r="E1508">
        <v>3</v>
      </c>
      <c r="F1508">
        <v>1</v>
      </c>
      <c r="G1508">
        <v>1</v>
      </c>
      <c r="H1508" s="1">
        <v>7.1064814814814819E-3</v>
      </c>
      <c r="I1508">
        <v>2014</v>
      </c>
      <c r="J1508" t="s">
        <v>7</v>
      </c>
      <c r="K1508" s="2" t="str">
        <f>HYPERLINK("https://www.nba.com/stats/events?CFID=&amp;CFPARAMS=&amp;GameEventID=12&amp;GameID=0021400361&amp;Season=2014-15&amp;flag=1&amp;title=Baynes%20%20Dunk%20(2%20PTS)%20(Leonard%201%20AST)", "Baynes  Dunk (2 PTS) (Leonard 1 AST)")</f>
        <v>Baynes  Dunk (2 PTS) (Leonard 1 AST)</v>
      </c>
      <c r="L1508" s="2" t="str">
        <f>HYPERLINK("https://www.nba.com/game/...-vs-...-0021400361/play-by-play?watchFullGame=true", "SAS vs POR - Q1 10:14.00")</f>
        <v>SAS vs POR - Q1 10:14.00</v>
      </c>
      <c r="M1508">
        <v>0</v>
      </c>
      <c r="N1508">
        <v>0</v>
      </c>
      <c r="O1508">
        <v>1</v>
      </c>
      <c r="P1508">
        <v>0</v>
      </c>
      <c r="Q1508">
        <v>1</v>
      </c>
      <c r="R1508" t="s">
        <v>0</v>
      </c>
      <c r="S1508" t="s">
        <v>0</v>
      </c>
      <c r="T1508" t="s">
        <v>0</v>
      </c>
    </row>
    <row r="1509" spans="1:20" x14ac:dyDescent="0.25">
      <c r="A1509">
        <v>21400361</v>
      </c>
      <c r="B1509" t="s">
        <v>10</v>
      </c>
      <c r="C1509" t="s">
        <v>9</v>
      </c>
      <c r="D1509">
        <v>48</v>
      </c>
      <c r="E1509">
        <v>52</v>
      </c>
      <c r="F1509">
        <v>4</v>
      </c>
      <c r="G1509">
        <v>3</v>
      </c>
      <c r="H1509" s="1">
        <v>6.8171296296296296E-3</v>
      </c>
      <c r="I1509">
        <v>2014</v>
      </c>
      <c r="J1509" t="s">
        <v>7</v>
      </c>
      <c r="K1509" s="2" t="str">
        <f>HYPERLINK("https://www.nba.com/stats/events?CFID=&amp;CFPARAMS=&amp;GameEventID=266&amp;GameID=0021400361&amp;Season=2014-15&amp;flag=1&amp;title=Joseph%20%203PT%20Jump%20Shot%20(7%20PTS)%20(Leonard%204%20AST)", "Joseph  3PT Jump Shot (7 PTS) (Leonard 4 AST)")</f>
        <v>Joseph  3PT Jump Shot (7 PTS) (Leonard 4 AST)</v>
      </c>
      <c r="L1509" s="2" t="str">
        <f>HYPERLINK("https://www.nba.com/game/...-vs-...-0021400361/play-by-play?watchFullGame=true", "SAS vs POR - Q3 09:49.00")</f>
        <v>SAS vs POR - Q3 09:49.00</v>
      </c>
      <c r="M1509">
        <v>0</v>
      </c>
      <c r="N1509">
        <v>-231</v>
      </c>
      <c r="O1509">
        <v>1</v>
      </c>
      <c r="P1509">
        <v>-231</v>
      </c>
      <c r="Q1509">
        <v>1</v>
      </c>
      <c r="R1509" t="s">
        <v>0</v>
      </c>
      <c r="S1509" t="s">
        <v>0</v>
      </c>
      <c r="T1509" t="s">
        <v>0</v>
      </c>
    </row>
    <row r="1510" spans="1:20" x14ac:dyDescent="0.25">
      <c r="A1510">
        <v>21400757</v>
      </c>
      <c r="B1510" t="s">
        <v>4</v>
      </c>
      <c r="C1510" t="s">
        <v>9</v>
      </c>
      <c r="D1510">
        <v>58</v>
      </c>
      <c r="E1510">
        <v>47</v>
      </c>
      <c r="F1510">
        <v>11</v>
      </c>
      <c r="G1510">
        <v>3</v>
      </c>
      <c r="H1510" s="1">
        <v>5.8449074074074072E-3</v>
      </c>
      <c r="I1510">
        <v>2014</v>
      </c>
      <c r="J1510" t="s">
        <v>7</v>
      </c>
      <c r="K1510" s="2" t="str">
        <f>HYPERLINK("https://www.nba.com/stats/events?CFID=&amp;CFPARAMS=&amp;GameEventID=240&amp;GameID=0021400757&amp;Season=2014-15&amp;flag=1&amp;title=Duncan%205'%20Jump%20Shot%20(8%20PTS)%20(Leonard%202%20AST)", "Duncan 5' Jump Shot (8 PTS) (Leonard 2 AST)")</f>
        <v>Duncan 5' Jump Shot (8 PTS) (Leonard 2 AST)</v>
      </c>
      <c r="L1510" s="2" t="str">
        <f>HYPERLINK("https://www.nba.com/game/...-vs-...-0021400757/play-by-play?watchFullGame=true", "SAS vs MIA - Q3 08:25.00")</f>
        <v>SAS vs MIA - Q3 08:25.00</v>
      </c>
      <c r="M1510">
        <v>5</v>
      </c>
      <c r="N1510">
        <v>-35</v>
      </c>
      <c r="O1510">
        <v>34</v>
      </c>
      <c r="P1510">
        <v>-35</v>
      </c>
      <c r="Q1510">
        <v>34</v>
      </c>
      <c r="R1510" t="s">
        <v>0</v>
      </c>
      <c r="S1510" t="s">
        <v>0</v>
      </c>
      <c r="T1510" t="s">
        <v>0</v>
      </c>
    </row>
    <row r="1511" spans="1:20" x14ac:dyDescent="0.25">
      <c r="A1511">
        <v>21400964</v>
      </c>
      <c r="B1511" t="s">
        <v>10</v>
      </c>
      <c r="C1511" t="s">
        <v>9</v>
      </c>
      <c r="D1511">
        <v>42</v>
      </c>
      <c r="E1511">
        <v>41</v>
      </c>
      <c r="F1511">
        <v>1</v>
      </c>
      <c r="G1511">
        <v>2</v>
      </c>
      <c r="H1511" s="1">
        <v>5.8680555555555552E-3</v>
      </c>
      <c r="I1511">
        <v>2014</v>
      </c>
      <c r="J1511" t="s">
        <v>7</v>
      </c>
      <c r="K1511" s="2" t="str">
        <f>HYPERLINK("https://www.nba.com/stats/events?CFID=&amp;CFPARAMS=&amp;GameEventID=163&amp;GameID=0021400964&amp;Season=2014-15&amp;flag=1&amp;title=Mills%20%203PT%20Jump%20Shot%20(6%20PTS)%20(Leonard%202%20AST)", "Mills  3PT Jump Shot (6 PTS) (Leonard 2 AST)")</f>
        <v>Mills  3PT Jump Shot (6 PTS) (Leonard 2 AST)</v>
      </c>
      <c r="L1511" s="2" t="str">
        <f>HYPERLINK("https://www.nba.com/game/...-vs-...-0021400964/play-by-play?watchFullGame=true", "SAS vs CLE - Q2 08:27.00")</f>
        <v>SAS vs CLE - Q2 08:27.00</v>
      </c>
      <c r="M1511">
        <v>0</v>
      </c>
      <c r="N1511">
        <v>-228</v>
      </c>
      <c r="O1511">
        <v>1</v>
      </c>
      <c r="P1511">
        <v>-228</v>
      </c>
      <c r="Q1511">
        <v>1</v>
      </c>
      <c r="R1511" t="s">
        <v>0</v>
      </c>
      <c r="S1511" t="s">
        <v>0</v>
      </c>
      <c r="T1511" t="s">
        <v>0</v>
      </c>
    </row>
    <row r="1512" spans="1:20" x14ac:dyDescent="0.25">
      <c r="A1512">
        <v>21401098</v>
      </c>
      <c r="B1512" t="s">
        <v>4</v>
      </c>
      <c r="C1512" t="s">
        <v>38</v>
      </c>
      <c r="D1512">
        <v>14</v>
      </c>
      <c r="E1512">
        <v>4</v>
      </c>
      <c r="F1512">
        <v>10</v>
      </c>
      <c r="G1512">
        <v>1</v>
      </c>
      <c r="H1512" s="1">
        <v>5.4513888888888893E-3</v>
      </c>
      <c r="I1512">
        <v>2014</v>
      </c>
      <c r="J1512" t="s">
        <v>7</v>
      </c>
      <c r="K1512" s="2" t="str">
        <f>HYPERLINK("https://www.nba.com/stats/events?CFID=&amp;CFPARAMS=&amp;GameEventID=32&amp;GameID=0021401098&amp;Season=2014-15&amp;flag=1&amp;title=Duncan%20Dunk%20(6%20PTS)%20(Leonard%201%20AST)", "Duncan Dunk (6 PTS) (Leonard 1 AST)")</f>
        <v>Duncan Dunk (6 PTS) (Leonard 1 AST)</v>
      </c>
      <c r="L1512" s="2" t="str">
        <f>HYPERLINK("https://www.nba.com/game/...-vs-...-0021401098/play-by-play?watchFullGame=true", "SAS vs MEM - Q1 07:51.00")</f>
        <v>SAS vs MEM - Q1 07:51.00</v>
      </c>
      <c r="M1512">
        <v>0</v>
      </c>
      <c r="N1512">
        <v>0</v>
      </c>
      <c r="O1512">
        <v>1</v>
      </c>
      <c r="P1512">
        <v>0</v>
      </c>
      <c r="Q1512">
        <v>1</v>
      </c>
      <c r="R1512" t="s">
        <v>0</v>
      </c>
      <c r="S1512" t="s">
        <v>0</v>
      </c>
      <c r="T1512" t="s">
        <v>0</v>
      </c>
    </row>
    <row r="1513" spans="1:20" x14ac:dyDescent="0.25">
      <c r="A1513">
        <v>21500182</v>
      </c>
      <c r="B1513" t="s">
        <v>4</v>
      </c>
      <c r="C1513" t="s">
        <v>23</v>
      </c>
      <c r="D1513">
        <v>2</v>
      </c>
      <c r="E1513">
        <v>0</v>
      </c>
      <c r="F1513">
        <v>2</v>
      </c>
      <c r="G1513">
        <v>1</v>
      </c>
      <c r="H1513" s="1">
        <v>8.1597222222222227E-3</v>
      </c>
      <c r="I1513">
        <v>2015</v>
      </c>
      <c r="J1513" t="s">
        <v>7</v>
      </c>
      <c r="K1513" s="2" t="str">
        <f>HYPERLINK("https://www.nba.com/stats/events?CFID=&amp;CFPARAMS=&amp;GameEventID=2&amp;GameID=0021500182&amp;Season=2015-16&amp;flag=1&amp;title=Duncan%202'%20Driving%20Layup%20(2%20PTS)%20(Leonard%201%20AST)", "Duncan 2' Driving Layup (2 PTS) (Leonard 1 AST)")</f>
        <v>Duncan 2' Driving Layup (2 PTS) (Leonard 1 AST)</v>
      </c>
      <c r="L1513" s="2" t="str">
        <f>HYPERLINK("https://www.nba.com/game/...-vs-...-0021500182/play-by-play?watchFullGame=true", "SAS vs NOP - Q1 11:45.00")</f>
        <v>SAS vs NOP - Q1 11:45.00</v>
      </c>
      <c r="M1513">
        <v>2</v>
      </c>
      <c r="N1513">
        <v>-20</v>
      </c>
      <c r="O1513">
        <v>11</v>
      </c>
      <c r="P1513">
        <v>-20</v>
      </c>
      <c r="Q1513">
        <v>11</v>
      </c>
      <c r="R1513" t="s">
        <v>0</v>
      </c>
      <c r="S1513" t="s">
        <v>0</v>
      </c>
      <c r="T1513" t="s">
        <v>0</v>
      </c>
    </row>
    <row r="1514" spans="1:20" x14ac:dyDescent="0.25">
      <c r="A1514">
        <v>21601056</v>
      </c>
      <c r="B1514" t="s">
        <v>4</v>
      </c>
      <c r="C1514" t="s">
        <v>23</v>
      </c>
      <c r="D1514">
        <v>13</v>
      </c>
      <c r="E1514">
        <v>13</v>
      </c>
      <c r="F1514">
        <v>0</v>
      </c>
      <c r="G1514">
        <v>1</v>
      </c>
      <c r="H1514" s="1">
        <v>2.9282407407407408E-3</v>
      </c>
      <c r="I1514">
        <v>2016</v>
      </c>
      <c r="J1514" t="s">
        <v>7</v>
      </c>
      <c r="K1514" s="2" t="str">
        <f>HYPERLINK("https://www.nba.com/stats/events?CFID=&amp;CFPARAMS=&amp;GameEventID=74&amp;GameID=0021601056&amp;Season=2016-17&amp;flag=1&amp;title=Aldridge%202'%20Driving%20Layup%20(8%20PTS)%20(Leonard%202%20AST)", "Aldridge 2' Driving Layup (8 PTS) (Leonard 2 AST)")</f>
        <v>Aldridge 2' Driving Layup (8 PTS) (Leonard 2 AST)</v>
      </c>
      <c r="L1514" s="2" t="str">
        <f>HYPERLINK("https://www.nba.com/game/...-vs-...-0021601056/play-by-play?watchFullGame=true", "SAS vs MIN - Q1 04:13.00")</f>
        <v>SAS vs MIN - Q1 04:13.00</v>
      </c>
      <c r="M1514">
        <v>2</v>
      </c>
      <c r="N1514">
        <v>-16</v>
      </c>
      <c r="O1514">
        <v>16</v>
      </c>
      <c r="P1514">
        <v>-16</v>
      </c>
      <c r="Q1514">
        <v>16</v>
      </c>
      <c r="R1514" t="s">
        <v>0</v>
      </c>
      <c r="S1514" t="s">
        <v>0</v>
      </c>
      <c r="T1514" t="s">
        <v>0</v>
      </c>
    </row>
    <row r="1515" spans="1:20" x14ac:dyDescent="0.25">
      <c r="A1515">
        <v>21601056</v>
      </c>
      <c r="B1515" t="s">
        <v>10</v>
      </c>
      <c r="C1515" t="s">
        <v>9</v>
      </c>
      <c r="D1515">
        <v>3</v>
      </c>
      <c r="E1515">
        <v>2</v>
      </c>
      <c r="F1515">
        <v>1</v>
      </c>
      <c r="G1515">
        <v>1</v>
      </c>
      <c r="H1515" s="1">
        <v>7.6620370370370366E-3</v>
      </c>
      <c r="I1515">
        <v>2016</v>
      </c>
      <c r="J1515" t="s">
        <v>7</v>
      </c>
      <c r="K1515" s="2" t="str">
        <f>HYPERLINK("https://www.nba.com/stats/events?CFID=&amp;CFPARAMS=&amp;GameEventID=5&amp;GameID=0021601056&amp;Season=2016-17&amp;flag=1&amp;title=Green%2025'%203PT%20Jump%20Shot%20(3%20PTS)%20(Leonard%201%20AST)", "Green 25' 3PT Jump Shot (3 PTS) (Leonard 1 AST)")</f>
        <v>Green 25' 3PT Jump Shot (3 PTS) (Leonard 1 AST)</v>
      </c>
      <c r="L1515" s="2" t="str">
        <f>HYPERLINK("https://www.nba.com/game/...-vs-...-0021601056/play-by-play?watchFullGame=true", "SAS vs MIN - Q1 11:02.00")</f>
        <v>SAS vs MIN - Q1 11:02.00</v>
      </c>
      <c r="M1515">
        <v>25</v>
      </c>
      <c r="N1515">
        <v>-34</v>
      </c>
      <c r="O1515">
        <v>247</v>
      </c>
      <c r="P1515">
        <v>-34</v>
      </c>
      <c r="Q1515">
        <v>247</v>
      </c>
      <c r="R1515" t="s">
        <v>0</v>
      </c>
      <c r="S1515" t="s">
        <v>0</v>
      </c>
      <c r="T1515" t="s">
        <v>0</v>
      </c>
    </row>
    <row r="1516" spans="1:20" x14ac:dyDescent="0.25">
      <c r="A1516">
        <v>21601070</v>
      </c>
      <c r="B1516" t="s">
        <v>4</v>
      </c>
      <c r="C1516" t="s">
        <v>19</v>
      </c>
      <c r="D1516">
        <v>4</v>
      </c>
      <c r="E1516">
        <v>3</v>
      </c>
      <c r="F1516">
        <v>1</v>
      </c>
      <c r="G1516">
        <v>1</v>
      </c>
      <c r="H1516" s="1">
        <v>7.4421296296296293E-3</v>
      </c>
      <c r="I1516">
        <v>2016</v>
      </c>
      <c r="J1516" t="s">
        <v>7</v>
      </c>
      <c r="K1516" s="2" t="str">
        <f>HYPERLINK("https://www.nba.com/stats/events?CFID=&amp;CFPARAMS=&amp;GameEventID=10&amp;GameID=0021601070&amp;Season=2016-17&amp;flag=1&amp;title=Green%2012'%20Pullup%20Jump%20Shot%20(2%20PTS)%20(Leonard%202%20AST)", "Green 12' Pullup Jump Shot (2 PTS) (Leonard 2 AST)")</f>
        <v>Green 12' Pullup Jump Shot (2 PTS) (Leonard 2 AST)</v>
      </c>
      <c r="L1516" s="2" t="str">
        <f>HYPERLINK("https://www.nba.com/game/...-vs-...-0021601070/play-by-play?watchFullGame=true", "SAS vs MEM - Q1 10:43.00")</f>
        <v>SAS vs MEM - Q1 10:43.00</v>
      </c>
      <c r="M1516">
        <v>12</v>
      </c>
      <c r="N1516">
        <v>73</v>
      </c>
      <c r="O1516">
        <v>100</v>
      </c>
      <c r="P1516">
        <v>73</v>
      </c>
      <c r="Q1516">
        <v>100</v>
      </c>
      <c r="R1516" t="s">
        <v>0</v>
      </c>
      <c r="S1516" t="s">
        <v>0</v>
      </c>
      <c r="T1516" t="s">
        <v>0</v>
      </c>
    </row>
    <row r="1517" spans="1:20" x14ac:dyDescent="0.25">
      <c r="A1517">
        <v>21601099</v>
      </c>
      <c r="B1517" t="s">
        <v>4</v>
      </c>
      <c r="C1517" t="s">
        <v>28</v>
      </c>
      <c r="D1517">
        <v>54</v>
      </c>
      <c r="E1517">
        <v>38</v>
      </c>
      <c r="F1517">
        <v>16</v>
      </c>
      <c r="G1517">
        <v>2</v>
      </c>
      <c r="H1517" s="1">
        <v>1.4004629629629629E-3</v>
      </c>
      <c r="I1517">
        <v>2016</v>
      </c>
      <c r="J1517" t="s">
        <v>7</v>
      </c>
      <c r="K1517" s="2" t="str">
        <f>HYPERLINK("https://www.nba.com/stats/events?CFID=&amp;CFPARAMS=&amp;GameEventID=236&amp;GameID=0021601099&amp;Season=2016-17&amp;flag=1&amp;title=Mills%201'%20Driving%20Finger%20Roll%20Layup%20(4%20PTS)%20(Leonard%205%20AST)", "Mills 1' Driving Finger Roll Layup (4 PTS) (Leonard 5 AST)")</f>
        <v>Mills 1' Driving Finger Roll Layup (4 PTS) (Leonard 5 AST)</v>
      </c>
      <c r="L1517" s="2" t="str">
        <f>HYPERLINK("https://www.nba.com/game/...-vs-...-0021601099/play-by-play?watchFullGame=true", "SAS vs CLE - Q2 02:01.00")</f>
        <v>SAS vs CLE - Q2 02:01.00</v>
      </c>
      <c r="M1517">
        <v>1</v>
      </c>
      <c r="N1517">
        <v>-4</v>
      </c>
      <c r="O1517">
        <v>7</v>
      </c>
      <c r="P1517">
        <v>-4</v>
      </c>
      <c r="Q1517">
        <v>7</v>
      </c>
      <c r="R1517" t="s">
        <v>0</v>
      </c>
      <c r="S1517" t="s">
        <v>0</v>
      </c>
      <c r="T1517" t="s">
        <v>0</v>
      </c>
    </row>
    <row r="1518" spans="1:20" x14ac:dyDescent="0.25">
      <c r="A1518">
        <v>21700333</v>
      </c>
      <c r="B1518" t="s">
        <v>10</v>
      </c>
      <c r="C1518" t="s">
        <v>9</v>
      </c>
      <c r="D1518">
        <v>55</v>
      </c>
      <c r="E1518">
        <v>50</v>
      </c>
      <c r="F1518">
        <v>5</v>
      </c>
      <c r="G1518">
        <v>2</v>
      </c>
      <c r="H1518" s="1">
        <v>1.5046296296296296E-3</v>
      </c>
      <c r="I1518">
        <v>2017</v>
      </c>
      <c r="J1518" t="s">
        <v>12</v>
      </c>
      <c r="K1518" s="2" t="str">
        <f>HYPERLINK("https://www.nba.com/stats/events?CFID=&amp;CFPARAMS=&amp;GameEventID=261&amp;GameID=0021700333&amp;Season=2017-18&amp;flag=1&amp;title=Connaughton%2025'%203PT%20Jump%20Shot%20(6%20PTS)%20(Leonard%201%20AST)", "Connaughton 25' 3PT Jump Shot (6 PTS) (Leonard 1 AST)")</f>
        <v>Connaughton 25' 3PT Jump Shot (6 PTS) (Leonard 1 AST)</v>
      </c>
      <c r="L1518" s="2" t="str">
        <f>HYPERLINK("https://www.nba.com/game/...-vs-...-0021700333/play-by-play?watchFullGame=true", "POR vs NOP - Q2 02:10.00")</f>
        <v>POR vs NOP - Q2 02:10.00</v>
      </c>
      <c r="M1518">
        <v>25</v>
      </c>
      <c r="N1518">
        <v>-163</v>
      </c>
      <c r="O1518">
        <v>186</v>
      </c>
      <c r="P1518">
        <v>-163</v>
      </c>
      <c r="Q1518">
        <v>186</v>
      </c>
      <c r="R1518" t="s">
        <v>0</v>
      </c>
      <c r="S1518" t="s">
        <v>0</v>
      </c>
      <c r="T1518" t="s">
        <v>0</v>
      </c>
    </row>
    <row r="1519" spans="1:20" x14ac:dyDescent="0.25">
      <c r="A1519">
        <v>21800069</v>
      </c>
      <c r="B1519" t="s">
        <v>4</v>
      </c>
      <c r="C1519" t="s">
        <v>6</v>
      </c>
      <c r="D1519">
        <v>101</v>
      </c>
      <c r="E1519">
        <v>91</v>
      </c>
      <c r="F1519">
        <v>10</v>
      </c>
      <c r="G1519">
        <v>4</v>
      </c>
      <c r="H1519" s="1">
        <v>5.9837962962962961E-3</v>
      </c>
      <c r="I1519">
        <v>2018</v>
      </c>
      <c r="J1519" t="s">
        <v>1</v>
      </c>
      <c r="K1519" s="2" t="str">
        <f>HYPERLINK("https://www.nba.com/stats/events?CFID=&amp;CFPARAMS=&amp;GameEventID=542&amp;GameID=0021800069&amp;Season=2018-19&amp;flag=1&amp;title=Ibaka%20Cutting%20Dunk%20Shot%20(7%20PTS)%20(Leonard%205%20AST)", "Ibaka Cutting Dunk Shot (7 PTS) (Leonard 5 AST)")</f>
        <v>Ibaka Cutting Dunk Shot (7 PTS) (Leonard 5 AST)</v>
      </c>
      <c r="L1519" s="2" t="str">
        <f>HYPERLINK("https://www.nba.com/game/...-vs-...-0021800069/play-by-play?watchFullGame=true", "TOR vs DAL - Q4 08:37.00")</f>
        <v>TOR vs DAL - Q4 08:37.00</v>
      </c>
      <c r="M1519">
        <v>0</v>
      </c>
      <c r="N1519">
        <v>2</v>
      </c>
      <c r="O1519">
        <v>0</v>
      </c>
      <c r="P1519">
        <v>2</v>
      </c>
      <c r="Q1519">
        <v>0</v>
      </c>
      <c r="R1519" t="s">
        <v>0</v>
      </c>
      <c r="S1519" t="s">
        <v>0</v>
      </c>
      <c r="T1519" t="s">
        <v>0</v>
      </c>
    </row>
    <row r="1520" spans="1:20" x14ac:dyDescent="0.25">
      <c r="A1520">
        <v>21800271</v>
      </c>
      <c r="B1520" t="s">
        <v>4</v>
      </c>
      <c r="C1520" t="s">
        <v>26</v>
      </c>
      <c r="D1520">
        <v>91</v>
      </c>
      <c r="E1520">
        <v>83</v>
      </c>
      <c r="F1520">
        <v>8</v>
      </c>
      <c r="G1520">
        <v>3</v>
      </c>
      <c r="H1520" s="1">
        <v>3.1597222222222222E-3</v>
      </c>
      <c r="I1520">
        <v>2018</v>
      </c>
      <c r="J1520" t="s">
        <v>1</v>
      </c>
      <c r="K1520" s="2" t="str">
        <f>HYPERLINK("https://www.nba.com/stats/events?CFID=&amp;CFPARAMS=&amp;GameEventID=484&amp;GameID=0021800271&amp;Season=2018-19&amp;flag=1&amp;title=Anunoby%201'%20Reverse%20Layup%20(13%20PTS)%20(Leonard%202%20AST)", "Anunoby 1' Reverse Layup (13 PTS) (Leonard 2 AST)")</f>
        <v>Anunoby 1' Reverse Layup (13 PTS) (Leonard 2 AST)</v>
      </c>
      <c r="L1520" s="2" t="str">
        <f>HYPERLINK("https://www.nba.com/game/...-vs-...-0021800271/play-by-play?watchFullGame=true", "TOR vs WAS - Q3 04:33.00")</f>
        <v>TOR vs WAS - Q3 04:33.00</v>
      </c>
      <c r="M1520">
        <v>1</v>
      </c>
      <c r="N1520">
        <v>-8</v>
      </c>
      <c r="O1520">
        <v>-10</v>
      </c>
      <c r="P1520">
        <v>-8</v>
      </c>
      <c r="Q1520">
        <v>-10</v>
      </c>
      <c r="R1520" t="s">
        <v>0</v>
      </c>
      <c r="S1520" t="s">
        <v>0</v>
      </c>
      <c r="T1520" t="s">
        <v>0</v>
      </c>
    </row>
    <row r="1521" spans="1:20" x14ac:dyDescent="0.25">
      <c r="A1521">
        <v>21800329</v>
      </c>
      <c r="B1521" t="s">
        <v>4</v>
      </c>
      <c r="C1521" t="s">
        <v>23</v>
      </c>
      <c r="D1521">
        <v>28</v>
      </c>
      <c r="E1521">
        <v>38</v>
      </c>
      <c r="F1521">
        <v>10</v>
      </c>
      <c r="G1521">
        <v>2</v>
      </c>
      <c r="H1521" s="1">
        <v>8.1944444444444452E-3</v>
      </c>
      <c r="I1521">
        <v>2018</v>
      </c>
      <c r="J1521" t="s">
        <v>12</v>
      </c>
      <c r="K1521" s="2" t="str">
        <f>HYPERLINK("https://www.nba.com/stats/events?CFID=&amp;CFPARAMS=&amp;GameEventID=149&amp;GameID=0021800329&amp;Season=2018-19&amp;flag=1&amp;title=Stauskas%201'%20Driving%20Layup%20(2%20PTS)%20(Leonard%201%20AST)", "Stauskas 1' Driving Layup (2 PTS) (Leonard 1 AST)")</f>
        <v>Stauskas 1' Driving Layup (2 PTS) (Leonard 1 AST)</v>
      </c>
      <c r="L1521" s="2" t="str">
        <f>HYPERLINK("https://www.nba.com/game/...-vs-...-0021800329/play-by-play?watchFullGame=true", "POR vs DEN - Q2 11:48.00")</f>
        <v>POR vs DEN - Q2 11:48.00</v>
      </c>
      <c r="M1521">
        <v>1</v>
      </c>
      <c r="N1521">
        <v>13</v>
      </c>
      <c r="O1521">
        <v>0</v>
      </c>
      <c r="P1521">
        <v>13</v>
      </c>
      <c r="Q1521">
        <v>0</v>
      </c>
      <c r="R1521" t="s">
        <v>0</v>
      </c>
      <c r="S1521" t="s">
        <v>0</v>
      </c>
      <c r="T1521" t="s">
        <v>0</v>
      </c>
    </row>
    <row r="1522" spans="1:20" x14ac:dyDescent="0.25">
      <c r="A1522">
        <v>21401110</v>
      </c>
      <c r="B1522" t="s">
        <v>4</v>
      </c>
      <c r="C1522" t="s">
        <v>9</v>
      </c>
      <c r="D1522">
        <v>10</v>
      </c>
      <c r="E1522">
        <v>4</v>
      </c>
      <c r="F1522">
        <v>6</v>
      </c>
      <c r="G1522">
        <v>1</v>
      </c>
      <c r="H1522" s="1">
        <v>4.4444444444444444E-3</v>
      </c>
      <c r="I1522">
        <v>2014</v>
      </c>
      <c r="J1522" t="s">
        <v>7</v>
      </c>
      <c r="K1522" s="2" t="str">
        <f>HYPERLINK("https://www.nba.com/stats/events?CFID=&amp;CFPARAMS=&amp;GameEventID=52&amp;GameID=0021401110&amp;Season=2014-15&amp;flag=1&amp;title=Ginobili%2019'%20Jump%20Shot%20(2%20PTS)%20(Leonard%201%20AST)", "Ginobili 19' Jump Shot (2 PTS) (Leonard 1 AST)")</f>
        <v>Ginobili 19' Jump Shot (2 PTS) (Leonard 1 AST)</v>
      </c>
      <c r="L1522" s="2" t="str">
        <f>HYPERLINK("https://www.nba.com/game/...-vs-...-0021401110/play-by-play?watchFullGame=true", "SAS vs MIA - Q1 06:24.00")</f>
        <v>SAS vs MIA - Q1 06:24.00</v>
      </c>
      <c r="M1522">
        <v>19</v>
      </c>
      <c r="N1522">
        <v>-5</v>
      </c>
      <c r="O1522">
        <v>187</v>
      </c>
      <c r="P1522">
        <v>-5</v>
      </c>
      <c r="Q1522">
        <v>187</v>
      </c>
      <c r="R1522" t="s">
        <v>0</v>
      </c>
      <c r="S1522" t="s">
        <v>0</v>
      </c>
      <c r="T1522" t="s">
        <v>0</v>
      </c>
    </row>
    <row r="1523" spans="1:20" x14ac:dyDescent="0.25">
      <c r="A1523">
        <v>21401110</v>
      </c>
      <c r="B1523" t="s">
        <v>4</v>
      </c>
      <c r="C1523" t="s">
        <v>5</v>
      </c>
      <c r="D1523">
        <v>43</v>
      </c>
      <c r="E1523">
        <v>37</v>
      </c>
      <c r="F1523">
        <v>6</v>
      </c>
      <c r="G1523">
        <v>2</v>
      </c>
      <c r="H1523" s="1">
        <v>1.0416666666666667E-3</v>
      </c>
      <c r="I1523">
        <v>2014</v>
      </c>
      <c r="J1523" t="s">
        <v>7</v>
      </c>
      <c r="K1523" s="2" t="str">
        <f>HYPERLINK("https://www.nba.com/stats/events?CFID=&amp;CFPARAMS=&amp;GameEventID=218&amp;GameID=0021401110&amp;Season=2014-15&amp;flag=1&amp;title=Diaw%20Layup%20(5%20PTS)%20(Leonard%202%20AST)", "Diaw Layup (5 PTS) (Leonard 2 AST)")</f>
        <v>Diaw Layup (5 PTS) (Leonard 2 AST)</v>
      </c>
      <c r="L1523" s="2" t="str">
        <f>HYPERLINK("https://www.nba.com/game/...-vs-...-0021401110/play-by-play?watchFullGame=true", "SAS vs MIA - Q2 01:30.00")</f>
        <v>SAS vs MIA - Q2 01:30.00</v>
      </c>
      <c r="M1523">
        <v>0</v>
      </c>
      <c r="N1523">
        <v>0</v>
      </c>
      <c r="O1523">
        <v>1</v>
      </c>
      <c r="P1523">
        <v>0</v>
      </c>
      <c r="Q1523">
        <v>1</v>
      </c>
      <c r="R1523" t="s">
        <v>0</v>
      </c>
      <c r="S1523" t="s">
        <v>0</v>
      </c>
      <c r="T1523" t="s">
        <v>0</v>
      </c>
    </row>
    <row r="1524" spans="1:20" x14ac:dyDescent="0.25">
      <c r="A1524">
        <v>21401174</v>
      </c>
      <c r="B1524" t="s">
        <v>4</v>
      </c>
      <c r="C1524" t="s">
        <v>14</v>
      </c>
      <c r="D1524">
        <v>49</v>
      </c>
      <c r="E1524">
        <v>36</v>
      </c>
      <c r="F1524">
        <v>13</v>
      </c>
      <c r="G1524">
        <v>2</v>
      </c>
      <c r="H1524" s="1">
        <v>3.7847222222222223E-3</v>
      </c>
      <c r="I1524">
        <v>2014</v>
      </c>
      <c r="J1524" t="s">
        <v>12</v>
      </c>
      <c r="K1524" s="2" t="str">
        <f>HYPERLINK("https://www.nba.com/stats/events?CFID=&amp;CFPARAMS=&amp;GameEventID=187&amp;GameID=0021401174&amp;Season=2014-15&amp;flag=1&amp;title=Lillard%2020'%20Step%20Back%20Jump%20Shot%20(10%20PTS)%20(Leonard%201%20AST)", "Lillard 20' Step Back Jump Shot (10 PTS) (Leonard 1 AST)")</f>
        <v>Lillard 20' Step Back Jump Shot (10 PTS) (Leonard 1 AST)</v>
      </c>
      <c r="L1524" s="2" t="str">
        <f>HYPERLINK("https://www.nba.com/game/...-vs-...-0021401174/play-by-play?watchFullGame=true", "POR vs GSW - Q2 05:27.00")</f>
        <v>POR vs GSW - Q2 05:27.00</v>
      </c>
      <c r="M1524">
        <v>20</v>
      </c>
      <c r="N1524">
        <v>-169</v>
      </c>
      <c r="O1524">
        <v>104</v>
      </c>
      <c r="P1524">
        <v>-169</v>
      </c>
      <c r="Q1524">
        <v>104</v>
      </c>
      <c r="R1524" t="s">
        <v>0</v>
      </c>
      <c r="S1524" t="s">
        <v>0</v>
      </c>
      <c r="T1524" t="s">
        <v>0</v>
      </c>
    </row>
    <row r="1525" spans="1:20" x14ac:dyDescent="0.25">
      <c r="A1525">
        <v>21500195</v>
      </c>
      <c r="B1525" t="s">
        <v>4</v>
      </c>
      <c r="C1525" t="s">
        <v>5</v>
      </c>
      <c r="D1525">
        <v>61</v>
      </c>
      <c r="E1525">
        <v>51</v>
      </c>
      <c r="F1525">
        <v>10</v>
      </c>
      <c r="G1525">
        <v>3</v>
      </c>
      <c r="H1525" s="1">
        <v>5.3587962962962964E-3</v>
      </c>
      <c r="I1525">
        <v>2015</v>
      </c>
      <c r="J1525" t="s">
        <v>7</v>
      </c>
      <c r="K1525" s="2" t="str">
        <f>HYPERLINK("https://www.nba.com/stats/events?CFID=&amp;CFPARAMS=&amp;GameEventID=288&amp;GameID=0021500195&amp;Season=2015-16&amp;flag=1&amp;title=Duncan%201'%20Layup%20(2%20PTS)%20(Leonard%202%20AST)", "Duncan 1' Layup (2 PTS) (Leonard 2 AST)")</f>
        <v>Duncan 1' Layup (2 PTS) (Leonard 2 AST)</v>
      </c>
      <c r="L1525" s="2" t="str">
        <f>HYPERLINK("https://www.nba.com/game/...-vs-...-0021500195/play-by-play?watchFullGame=true", "SAS vs MEM - Q3 07:43.00")</f>
        <v>SAS vs MEM - Q3 07:43.00</v>
      </c>
      <c r="M1525">
        <v>1</v>
      </c>
      <c r="N1525">
        <v>9</v>
      </c>
      <c r="O1525">
        <v>3</v>
      </c>
      <c r="P1525">
        <v>9</v>
      </c>
      <c r="Q1525">
        <v>3</v>
      </c>
      <c r="R1525" t="s">
        <v>0</v>
      </c>
      <c r="S1525" t="s">
        <v>0</v>
      </c>
      <c r="T1525" t="s">
        <v>0</v>
      </c>
    </row>
    <row r="1526" spans="1:20" x14ac:dyDescent="0.25">
      <c r="A1526">
        <v>21500224</v>
      </c>
      <c r="B1526" t="s">
        <v>4</v>
      </c>
      <c r="C1526" t="s">
        <v>9</v>
      </c>
      <c r="D1526">
        <v>40</v>
      </c>
      <c r="E1526">
        <v>35</v>
      </c>
      <c r="F1526">
        <v>5</v>
      </c>
      <c r="G1526">
        <v>2</v>
      </c>
      <c r="H1526" s="1">
        <v>2.662037037037037E-3</v>
      </c>
      <c r="I1526">
        <v>2015</v>
      </c>
      <c r="J1526" t="s">
        <v>7</v>
      </c>
      <c r="K1526" s="2" t="str">
        <f>HYPERLINK("https://www.nba.com/stats/events?CFID=&amp;CFPARAMS=&amp;GameEventID=228&amp;GameID=0021500224&amp;Season=2015-16&amp;flag=1&amp;title=Aldridge%2014'%20Jump%20Shot%20(8%20PTS)%20(Leonard%203%20AST)", "Aldridge 14' Jump Shot (8 PTS) (Leonard 3 AST)")</f>
        <v>Aldridge 14' Jump Shot (8 PTS) (Leonard 3 AST)</v>
      </c>
      <c r="L1526" s="2" t="str">
        <f>HYPERLINK("https://www.nba.com/game/...-vs-...-0021500224/play-by-play?watchFullGame=true", "SAS vs DAL - Q2 03:50.00")</f>
        <v>SAS vs DAL - Q2 03:50.00</v>
      </c>
      <c r="M1526">
        <v>14</v>
      </c>
      <c r="N1526">
        <v>63</v>
      </c>
      <c r="O1526">
        <v>129</v>
      </c>
      <c r="P1526">
        <v>63</v>
      </c>
      <c r="Q1526">
        <v>129</v>
      </c>
      <c r="R1526" t="s">
        <v>0</v>
      </c>
      <c r="S1526" t="s">
        <v>0</v>
      </c>
      <c r="T1526" t="s">
        <v>0</v>
      </c>
    </row>
    <row r="1527" spans="1:20" x14ac:dyDescent="0.25">
      <c r="A1527">
        <v>21500347</v>
      </c>
      <c r="B1527" t="s">
        <v>4</v>
      </c>
      <c r="C1527" t="s">
        <v>36</v>
      </c>
      <c r="D1527">
        <v>57</v>
      </c>
      <c r="E1527">
        <v>36</v>
      </c>
      <c r="F1527">
        <v>21</v>
      </c>
      <c r="G1527">
        <v>3</v>
      </c>
      <c r="H1527" s="1">
        <v>5.4050925925925924E-3</v>
      </c>
      <c r="I1527">
        <v>2015</v>
      </c>
      <c r="J1527" t="s">
        <v>7</v>
      </c>
      <c r="K1527" s="2" t="str">
        <f>HYPERLINK("https://www.nba.com/stats/events?CFID=&amp;CFPARAMS=&amp;GameEventID=295&amp;GameID=0021500347&amp;Season=2015-16&amp;flag=1&amp;title=Green%202'%20Running%20Layup%20(5%20PTS)%20(Leonard%202%20AST)", "Green 2' Running Layup (5 PTS) (Leonard 2 AST)")</f>
        <v>Green 2' Running Layup (5 PTS) (Leonard 2 AST)</v>
      </c>
      <c r="L1527" s="2" t="str">
        <f>HYPERLINK("https://www.nba.com/game/...-vs-...-0021500347/play-by-play?watchFullGame=true", "SAS vs ATL - Q3 07:47.00")</f>
        <v>SAS vs ATL - Q3 07:47.00</v>
      </c>
      <c r="M1527">
        <v>2</v>
      </c>
      <c r="N1527">
        <v>15</v>
      </c>
      <c r="O1527">
        <v>2</v>
      </c>
      <c r="P1527">
        <v>15</v>
      </c>
      <c r="Q1527">
        <v>2</v>
      </c>
      <c r="R1527" t="s">
        <v>0</v>
      </c>
      <c r="S1527" t="s">
        <v>0</v>
      </c>
      <c r="T1527" t="s">
        <v>0</v>
      </c>
    </row>
    <row r="1528" spans="1:20" x14ac:dyDescent="0.25">
      <c r="A1528">
        <v>21500379</v>
      </c>
      <c r="B1528" t="s">
        <v>4</v>
      </c>
      <c r="C1528" t="s">
        <v>9</v>
      </c>
      <c r="D1528">
        <v>15</v>
      </c>
      <c r="E1528">
        <v>16</v>
      </c>
      <c r="F1528">
        <v>1</v>
      </c>
      <c r="G1528">
        <v>1</v>
      </c>
      <c r="H1528" s="1">
        <v>3.3564814814814816E-3</v>
      </c>
      <c r="I1528">
        <v>2015</v>
      </c>
      <c r="J1528" t="s">
        <v>7</v>
      </c>
      <c r="K1528" s="2" t="str">
        <f>HYPERLINK("https://www.nba.com/stats/events?CFID=&amp;CFPARAMS=&amp;GameEventID=64&amp;GameID=0021500379&amp;Season=2015-16&amp;flag=1&amp;title=Aldridge%2014'%20Jump%20Shot%20(2%20PTS)%20(Leonard%202%20AST)", "Aldridge 14' Jump Shot (2 PTS) (Leonard 2 AST)")</f>
        <v>Aldridge 14' Jump Shot (2 PTS) (Leonard 2 AST)</v>
      </c>
      <c r="L1528" s="2" t="str">
        <f>HYPERLINK("https://www.nba.com/game/...-vs-...-0021500379/play-by-play?watchFullGame=true", "SAS vs WAS - Q1 04:50.00")</f>
        <v>SAS vs WAS - Q1 04:50.00</v>
      </c>
      <c r="M1528">
        <v>14</v>
      </c>
      <c r="N1528">
        <v>-132</v>
      </c>
      <c r="O1528">
        <v>36</v>
      </c>
      <c r="P1528">
        <v>-132</v>
      </c>
      <c r="Q1528">
        <v>36</v>
      </c>
      <c r="R1528" t="s">
        <v>0</v>
      </c>
      <c r="S1528" t="s">
        <v>0</v>
      </c>
      <c r="T1528" t="s">
        <v>0</v>
      </c>
    </row>
    <row r="1529" spans="1:20" x14ac:dyDescent="0.25">
      <c r="A1529">
        <v>21500482</v>
      </c>
      <c r="B1529" t="s">
        <v>10</v>
      </c>
      <c r="C1529" t="s">
        <v>9</v>
      </c>
      <c r="D1529">
        <v>39</v>
      </c>
      <c r="E1529">
        <v>29</v>
      </c>
      <c r="F1529">
        <v>10</v>
      </c>
      <c r="G1529">
        <v>2</v>
      </c>
      <c r="H1529" s="1">
        <v>5.0694444444444441E-3</v>
      </c>
      <c r="I1529">
        <v>2015</v>
      </c>
      <c r="J1529" t="s">
        <v>12</v>
      </c>
      <c r="K1529" s="2" t="str">
        <f>HYPERLINK("https://www.nba.com/stats/events?CFID=&amp;CFPARAMS=&amp;GameEventID=159&amp;GameID=0021500482&amp;Season=2015-16&amp;flag=1&amp;title=Frazier%2026'%203PT%20Jump%20Shot%20(4%20PTS)%20(Leonard%201%20AST)", "Frazier 26' 3PT Jump Shot (4 PTS) (Leonard 1 AST)")</f>
        <v>Frazier 26' 3PT Jump Shot (4 PTS) (Leonard 1 AST)</v>
      </c>
      <c r="L1529" s="2" t="str">
        <f>HYPERLINK("https://www.nba.com/game/...-vs-...-0021500482/play-by-play?watchFullGame=true", "POR vs DEN - Q2 07:18.00")</f>
        <v>POR vs DEN - Q2 07:18.00</v>
      </c>
      <c r="M1529">
        <v>26</v>
      </c>
      <c r="N1529">
        <v>-178</v>
      </c>
      <c r="O1529">
        <v>193</v>
      </c>
      <c r="P1529">
        <v>-178</v>
      </c>
      <c r="Q1529">
        <v>193</v>
      </c>
      <c r="R1529" t="s">
        <v>0</v>
      </c>
      <c r="S1529" t="s">
        <v>0</v>
      </c>
      <c r="T1529" t="s">
        <v>0</v>
      </c>
    </row>
    <row r="1530" spans="1:20" x14ac:dyDescent="0.25">
      <c r="A1530">
        <v>21400595</v>
      </c>
      <c r="B1530" t="s">
        <v>4</v>
      </c>
      <c r="C1530" t="s">
        <v>23</v>
      </c>
      <c r="D1530">
        <v>64</v>
      </c>
      <c r="E1530">
        <v>57</v>
      </c>
      <c r="F1530">
        <v>7</v>
      </c>
      <c r="G1530">
        <v>3</v>
      </c>
      <c r="H1530" s="1">
        <v>7.6851851851851855E-3</v>
      </c>
      <c r="I1530">
        <v>2014</v>
      </c>
      <c r="J1530" t="s">
        <v>7</v>
      </c>
      <c r="K1530" s="2" t="str">
        <f>HYPERLINK("https://www.nba.com/stats/events?CFID=&amp;CFPARAMS=&amp;GameEventID=268&amp;GameID=0021400595&amp;Season=2014-15&amp;flag=1&amp;title=Splitter%202'%20Driving%20Layup%20(4%20PTS)%20(Leonard%203%20AST)", "Splitter 2' Driving Layup (4 PTS) (Leonard 3 AST)")</f>
        <v>Splitter 2' Driving Layup (4 PTS) (Leonard 3 AST)</v>
      </c>
      <c r="L1530" s="2" t="str">
        <f>HYPERLINK("https://www.nba.com/game/...-vs-...-0021400595/play-by-play?watchFullGame=true", "SAS vs POR - Q3 11:04.00")</f>
        <v>SAS vs POR - Q3 11:04.00</v>
      </c>
      <c r="M1530">
        <v>2</v>
      </c>
      <c r="N1530">
        <v>15</v>
      </c>
      <c r="O1530">
        <v>-2</v>
      </c>
      <c r="P1530">
        <v>15</v>
      </c>
      <c r="Q1530">
        <v>-2</v>
      </c>
      <c r="R1530" t="s">
        <v>0</v>
      </c>
      <c r="S1530" t="s">
        <v>0</v>
      </c>
      <c r="T1530" t="s">
        <v>0</v>
      </c>
    </row>
    <row r="1531" spans="1:20" x14ac:dyDescent="0.25">
      <c r="A1531">
        <v>21400648</v>
      </c>
      <c r="B1531" t="s">
        <v>4</v>
      </c>
      <c r="C1531" t="s">
        <v>9</v>
      </c>
      <c r="D1531">
        <v>97</v>
      </c>
      <c r="E1531">
        <v>80</v>
      </c>
      <c r="F1531">
        <v>17</v>
      </c>
      <c r="G1531">
        <v>4</v>
      </c>
      <c r="H1531" s="1">
        <v>1.0995370370370371E-3</v>
      </c>
      <c r="I1531">
        <v>2014</v>
      </c>
      <c r="J1531" t="s">
        <v>7</v>
      </c>
      <c r="K1531" s="2" t="str">
        <f>HYPERLINK("https://www.nba.com/stats/events?CFID=&amp;CFPARAMS=&amp;GameEventID=499&amp;GameID=0021400648&amp;Season=2014-15&amp;flag=1&amp;title=Bonner%2014'%20Jump%20Shot%20(2%20PTS)%20(Leonard%203%20AST)", "Bonner 14' Jump Shot (2 PTS) (Leonard 3 AST)")</f>
        <v>Bonner 14' Jump Shot (2 PTS) (Leonard 3 AST)</v>
      </c>
      <c r="L1531" s="2" t="str">
        <f>HYPERLINK("https://www.nba.com/game/...-vs-...-0021400648/play-by-play?watchFullGame=true", "SAS vs LAL - Q4 01:35.00")</f>
        <v>SAS vs LAL - Q4 01:35.00</v>
      </c>
      <c r="M1531">
        <v>14</v>
      </c>
      <c r="N1531">
        <v>135</v>
      </c>
      <c r="O1531">
        <v>-2</v>
      </c>
      <c r="P1531">
        <v>135</v>
      </c>
      <c r="Q1531">
        <v>-2</v>
      </c>
      <c r="R1531" t="s">
        <v>0</v>
      </c>
      <c r="S1531" t="s">
        <v>0</v>
      </c>
      <c r="T1531" t="s">
        <v>0</v>
      </c>
    </row>
    <row r="1532" spans="1:20" x14ac:dyDescent="0.25">
      <c r="A1532">
        <v>21400689</v>
      </c>
      <c r="B1532" t="s">
        <v>4</v>
      </c>
      <c r="C1532" t="s">
        <v>5</v>
      </c>
      <c r="D1532">
        <v>17</v>
      </c>
      <c r="E1532">
        <v>15</v>
      </c>
      <c r="F1532">
        <v>2</v>
      </c>
      <c r="G1532">
        <v>1</v>
      </c>
      <c r="H1532" s="1">
        <v>2.3842592592592591E-3</v>
      </c>
      <c r="I1532">
        <v>2014</v>
      </c>
      <c r="J1532" t="s">
        <v>7</v>
      </c>
      <c r="K1532" s="2" t="str">
        <f>HYPERLINK("https://www.nba.com/stats/events?CFID=&amp;CFPARAMS=&amp;GameEventID=71&amp;GameID=0021400689&amp;Season=2014-15&amp;flag=1&amp;title=Diaw%201'%20Layup%20(2%20PTS)%20(Leonard%201%20AST)", "Diaw 1' Layup (2 PTS) (Leonard 1 AST)")</f>
        <v>Diaw 1' Layup (2 PTS) (Leonard 1 AST)</v>
      </c>
      <c r="L1532" s="2" t="str">
        <f>HYPERLINK("https://www.nba.com/game/...-vs-...-0021400689/play-by-play?watchFullGame=true", "SAS vs CHA - Q1 03:26.00")</f>
        <v>SAS vs CHA - Q1 03:26.00</v>
      </c>
      <c r="M1532">
        <v>1</v>
      </c>
      <c r="N1532">
        <v>9</v>
      </c>
      <c r="O1532">
        <v>3</v>
      </c>
      <c r="P1532">
        <v>9</v>
      </c>
      <c r="Q1532">
        <v>3</v>
      </c>
      <c r="R1532" t="s">
        <v>0</v>
      </c>
      <c r="S1532" t="s">
        <v>0</v>
      </c>
      <c r="T1532" t="s">
        <v>0</v>
      </c>
    </row>
    <row r="1533" spans="1:20" x14ac:dyDescent="0.25">
      <c r="A1533">
        <v>21400836</v>
      </c>
      <c r="B1533" t="s">
        <v>4</v>
      </c>
      <c r="C1533" t="s">
        <v>5</v>
      </c>
      <c r="D1533">
        <v>68</v>
      </c>
      <c r="E1533">
        <v>79</v>
      </c>
      <c r="F1533">
        <v>11</v>
      </c>
      <c r="G1533">
        <v>4</v>
      </c>
      <c r="H1533" s="1">
        <v>5.0000000000000001E-3</v>
      </c>
      <c r="I1533">
        <v>2014</v>
      </c>
      <c r="J1533" t="s">
        <v>7</v>
      </c>
      <c r="K1533" s="2" t="str">
        <f>HYPERLINK("https://www.nba.com/stats/events?CFID=&amp;CFPARAMS=&amp;GameEventID=438&amp;GameID=0021400836&amp;Season=2014-15&amp;flag=1&amp;title=Duncan%203'%20Layup%20(14%20PTS)%20(Leonard%202%20AST)", "Duncan 3' Layup (14 PTS) (Leonard 2 AST)")</f>
        <v>Duncan 3' Layup (14 PTS) (Leonard 2 AST)</v>
      </c>
      <c r="L1533" s="2" t="str">
        <f>HYPERLINK("https://www.nba.com/game/...-vs-...-0021400836/play-by-play?watchFullGame=true", "SAS vs UTA - Q4 07:12.00")</f>
        <v>SAS vs UTA - Q4 07:12.00</v>
      </c>
      <c r="M1533">
        <v>3</v>
      </c>
      <c r="N1533">
        <v>26</v>
      </c>
      <c r="O1533">
        <v>4</v>
      </c>
      <c r="P1533">
        <v>26</v>
      </c>
      <c r="Q1533">
        <v>4</v>
      </c>
      <c r="R1533" t="s">
        <v>0</v>
      </c>
      <c r="S1533" t="s">
        <v>0</v>
      </c>
      <c r="T1533" t="s">
        <v>0</v>
      </c>
    </row>
    <row r="1534" spans="1:20" x14ac:dyDescent="0.25">
      <c r="A1534">
        <v>21400964</v>
      </c>
      <c r="B1534" t="s">
        <v>10</v>
      </c>
      <c r="C1534" t="s">
        <v>9</v>
      </c>
      <c r="D1534">
        <v>104</v>
      </c>
      <c r="E1534">
        <v>95</v>
      </c>
      <c r="F1534">
        <v>9</v>
      </c>
      <c r="G1534">
        <v>4</v>
      </c>
      <c r="H1534" s="1">
        <v>2.1412037037037038E-3</v>
      </c>
      <c r="I1534">
        <v>2014</v>
      </c>
      <c r="J1534" t="s">
        <v>7</v>
      </c>
      <c r="K1534" s="2" t="str">
        <f>HYPERLINK("https://www.nba.com/stats/events?CFID=&amp;CFPARAMS=&amp;GameEventID=457&amp;GameID=0021400964&amp;Season=2014-15&amp;flag=1&amp;title=Green%20%203PT%20Jump%20Shot%20(17%20PTS)%20(Leonard%205%20AST)", "Green  3PT Jump Shot (17 PTS) (Leonard 5 AST)")</f>
        <v>Green  3PT Jump Shot (17 PTS) (Leonard 5 AST)</v>
      </c>
      <c r="L1534" s="2" t="str">
        <f>HYPERLINK("https://www.nba.com/game/...-vs-...-0021400964/play-by-play?watchFullGame=true", "SAS vs CLE - Q4 03:05.00")</f>
        <v>SAS vs CLE - Q4 03:05.00</v>
      </c>
      <c r="M1534">
        <v>0</v>
      </c>
      <c r="N1534">
        <v>-234</v>
      </c>
      <c r="O1534">
        <v>-16</v>
      </c>
      <c r="P1534">
        <v>-234</v>
      </c>
      <c r="Q1534">
        <v>-16</v>
      </c>
      <c r="R1534" t="s">
        <v>0</v>
      </c>
      <c r="S1534" t="s">
        <v>0</v>
      </c>
      <c r="T1534" t="s">
        <v>0</v>
      </c>
    </row>
    <row r="1535" spans="1:20" x14ac:dyDescent="0.25">
      <c r="A1535">
        <v>21401039</v>
      </c>
      <c r="B1535" t="s">
        <v>4</v>
      </c>
      <c r="C1535" t="s">
        <v>54</v>
      </c>
      <c r="D1535">
        <v>75</v>
      </c>
      <c r="E1535">
        <v>54</v>
      </c>
      <c r="F1535">
        <v>21</v>
      </c>
      <c r="G1535">
        <v>3</v>
      </c>
      <c r="H1535" s="1">
        <v>3.9583333333333337E-3</v>
      </c>
      <c r="I1535">
        <v>2014</v>
      </c>
      <c r="J1535" t="s">
        <v>7</v>
      </c>
      <c r="K1535" s="2" t="str">
        <f>HYPERLINK("https://www.nba.com/stats/events?CFID=&amp;CFPARAMS=&amp;GameEventID=314&amp;GameID=0021401039&amp;Season=2014-15&amp;flag=1&amp;title=Parker%206'%20Driving%20Jump%20Shot%20(8%20PTS)%20(Leonard%207%20AST)", "Parker 6' Driving Jump Shot (8 PTS) (Leonard 7 AST)")</f>
        <v>Parker 6' Driving Jump Shot (8 PTS) (Leonard 7 AST)</v>
      </c>
      <c r="L1535" s="2" t="str">
        <f>HYPERLINK("https://www.nba.com/game/...-vs-...-0021401039/play-by-play?watchFullGame=true", "SAS vs ATL - Q3 05:42.00")</f>
        <v>SAS vs ATL - Q3 05:42.00</v>
      </c>
      <c r="M1535">
        <v>6</v>
      </c>
      <c r="N1535">
        <v>24</v>
      </c>
      <c r="O1535">
        <v>56</v>
      </c>
      <c r="P1535">
        <v>24</v>
      </c>
      <c r="Q1535">
        <v>56</v>
      </c>
      <c r="R1535" t="s">
        <v>0</v>
      </c>
      <c r="S1535" t="s">
        <v>0</v>
      </c>
      <c r="T1535" t="s">
        <v>0</v>
      </c>
    </row>
    <row r="1536" spans="1:20" x14ac:dyDescent="0.25">
      <c r="A1536">
        <v>21401039</v>
      </c>
      <c r="B1536" t="s">
        <v>4</v>
      </c>
      <c r="C1536" t="s">
        <v>9</v>
      </c>
      <c r="D1536">
        <v>18</v>
      </c>
      <c r="E1536">
        <v>4</v>
      </c>
      <c r="F1536">
        <v>14</v>
      </c>
      <c r="G1536">
        <v>1</v>
      </c>
      <c r="H1536" s="1">
        <v>4.2824074074074075E-3</v>
      </c>
      <c r="I1536">
        <v>2014</v>
      </c>
      <c r="J1536" t="s">
        <v>7</v>
      </c>
      <c r="K1536" s="2" t="str">
        <f>HYPERLINK("https://www.nba.com/stats/events?CFID=&amp;CFPARAMS=&amp;GameEventID=41&amp;GameID=0021401039&amp;Season=2014-15&amp;flag=1&amp;title=Parker%2014'%20Jump%20Shot%20(2%20PTS)%20(Leonard%203%20AST)", "Parker 14' Jump Shot (2 PTS) (Leonard 3 AST)")</f>
        <v>Parker 14' Jump Shot (2 PTS) (Leonard 3 AST)</v>
      </c>
      <c r="L1536" s="2" t="str">
        <f>HYPERLINK("https://www.nba.com/game/...-vs-...-0021401039/play-by-play?watchFullGame=true", "SAS vs ATL - Q1 06:10.00")</f>
        <v>SAS vs ATL - Q1 06:10.00</v>
      </c>
      <c r="M1536">
        <v>14</v>
      </c>
      <c r="N1536">
        <v>137</v>
      </c>
      <c r="O1536">
        <v>-1</v>
      </c>
      <c r="P1536">
        <v>137</v>
      </c>
      <c r="Q1536">
        <v>-1</v>
      </c>
      <c r="R1536" t="s">
        <v>0</v>
      </c>
      <c r="S1536" t="s">
        <v>0</v>
      </c>
      <c r="T1536" t="s">
        <v>0</v>
      </c>
    </row>
    <row r="1537" spans="1:20" x14ac:dyDescent="0.25">
      <c r="A1537">
        <v>21401172</v>
      </c>
      <c r="B1537" t="s">
        <v>10</v>
      </c>
      <c r="C1537" t="s">
        <v>9</v>
      </c>
      <c r="D1537">
        <v>108</v>
      </c>
      <c r="E1537">
        <v>83</v>
      </c>
      <c r="F1537">
        <v>25</v>
      </c>
      <c r="G1537">
        <v>4</v>
      </c>
      <c r="H1537" s="1">
        <v>1.7592592592592592E-3</v>
      </c>
      <c r="I1537">
        <v>2014</v>
      </c>
      <c r="J1537" t="s">
        <v>12</v>
      </c>
      <c r="K1537" s="2" t="str">
        <f>HYPERLINK("https://www.nba.com/stats/events?CFID=&amp;CFPARAMS=&amp;GameEventID=516&amp;GameID=0021401172&amp;Season=2014-15&amp;flag=1&amp;title=Crabbe%2025'%203PT%20Jump%20Shot%20(6%20PTS)%20(Leonard%202%20AST)", "Crabbe 25' 3PT Jump Shot (6 PTS) (Leonard 2 AST)")</f>
        <v>Crabbe 25' 3PT Jump Shot (6 PTS) (Leonard 2 AST)</v>
      </c>
      <c r="L1537" s="2" t="str">
        <f>HYPERLINK("https://www.nba.com/game/...-vs-...-0021401172/play-by-play?watchFullGame=true", "POR vs MIN - Q4 02:32.00")</f>
        <v>POR vs MIN - Q4 02:32.00</v>
      </c>
      <c r="M1537">
        <v>25</v>
      </c>
      <c r="N1537">
        <v>-134</v>
      </c>
      <c r="O1537">
        <v>214</v>
      </c>
      <c r="P1537">
        <v>-134</v>
      </c>
      <c r="Q1537">
        <v>214</v>
      </c>
      <c r="R1537" t="s">
        <v>0</v>
      </c>
      <c r="S1537" t="s">
        <v>0</v>
      </c>
      <c r="T1537" t="s">
        <v>0</v>
      </c>
    </row>
    <row r="1538" spans="1:20" x14ac:dyDescent="0.25">
      <c r="A1538">
        <v>21301092</v>
      </c>
      <c r="B1538" t="s">
        <v>4</v>
      </c>
      <c r="C1538" t="s">
        <v>5</v>
      </c>
      <c r="D1538">
        <v>59</v>
      </c>
      <c r="E1538">
        <v>39</v>
      </c>
      <c r="F1538">
        <v>20</v>
      </c>
      <c r="G1538">
        <v>3</v>
      </c>
      <c r="H1538" s="1">
        <v>6.099537037037037E-3</v>
      </c>
      <c r="I1538">
        <v>2013</v>
      </c>
      <c r="J1538" t="s">
        <v>7</v>
      </c>
      <c r="K1538" s="2" t="str">
        <f>HYPERLINK("https://www.nba.com/stats/events?CFID=&amp;CFPARAMS=&amp;GameEventID=239&amp;GameID=0021301092&amp;Season=2013-14&amp;flag=1&amp;title=Parker%201'%20Layup%20(2%20PTS)%20(Leonard%202%20AST)", "Parker 1' Layup (2 PTS) (Leonard 2 AST)")</f>
        <v>Parker 1' Layup (2 PTS) (Leonard 2 AST)</v>
      </c>
      <c r="L1538" s="2" t="str">
        <f>HYPERLINK("https://www.nba.com/game/...-vs-...-0021301092/play-by-play?watchFullGame=true", "SAS vs NOP - Q3 08:47.00")</f>
        <v>SAS vs NOP - Q3 08:47.00</v>
      </c>
      <c r="M1538">
        <v>1</v>
      </c>
      <c r="N1538">
        <v>7</v>
      </c>
      <c r="O1538">
        <v>-6</v>
      </c>
      <c r="P1538">
        <v>7</v>
      </c>
      <c r="Q1538">
        <v>-6</v>
      </c>
      <c r="R1538" t="s">
        <v>0</v>
      </c>
      <c r="S1538" t="s">
        <v>0</v>
      </c>
      <c r="T1538" t="s">
        <v>0</v>
      </c>
    </row>
    <row r="1539" spans="1:20" x14ac:dyDescent="0.25">
      <c r="A1539">
        <v>21301154</v>
      </c>
      <c r="B1539" t="s">
        <v>10</v>
      </c>
      <c r="C1539" t="s">
        <v>9</v>
      </c>
      <c r="D1539">
        <v>42</v>
      </c>
      <c r="E1539">
        <v>31</v>
      </c>
      <c r="F1539">
        <v>11</v>
      </c>
      <c r="G1539">
        <v>2</v>
      </c>
      <c r="H1539" s="1">
        <v>3.5763888888888889E-3</v>
      </c>
      <c r="I1539">
        <v>2013</v>
      </c>
      <c r="J1539" t="s">
        <v>7</v>
      </c>
      <c r="K1539" s="2" t="str">
        <f>HYPERLINK("https://www.nba.com/stats/events?CFID=&amp;CFPARAMS=&amp;GameEventID=191&amp;GameID=0021301154&amp;Season=2013-14&amp;flag=1&amp;title=Ginobili%20%203PT%20Jump%20Shot%20(8%20PTS)%20(Leonard%202%20AST)", "Ginobili  3PT Jump Shot (8 PTS) (Leonard 2 AST)")</f>
        <v>Ginobili  3PT Jump Shot (8 PTS) (Leonard 2 AST)</v>
      </c>
      <c r="L1539" s="2" t="str">
        <f>HYPERLINK("https://www.nba.com/game/...-vs-...-0021301154/play-by-play?watchFullGame=true", "SAS vs MEM - Q2 05:09.00")</f>
        <v>SAS vs MEM - Q2 05:09.00</v>
      </c>
      <c r="M1539">
        <v>0</v>
      </c>
      <c r="N1539">
        <v>-231</v>
      </c>
      <c r="O1539">
        <v>42</v>
      </c>
      <c r="P1539">
        <v>-231</v>
      </c>
      <c r="Q1539">
        <v>42</v>
      </c>
      <c r="R1539" t="s">
        <v>0</v>
      </c>
      <c r="S1539" t="s">
        <v>0</v>
      </c>
      <c r="T1539" t="s">
        <v>0</v>
      </c>
    </row>
    <row r="1540" spans="1:20" x14ac:dyDescent="0.25">
      <c r="A1540">
        <v>21301221</v>
      </c>
      <c r="B1540" t="s">
        <v>10</v>
      </c>
      <c r="C1540" t="s">
        <v>9</v>
      </c>
      <c r="D1540">
        <v>35</v>
      </c>
      <c r="E1540">
        <v>42</v>
      </c>
      <c r="F1540">
        <v>7</v>
      </c>
      <c r="G1540">
        <v>2</v>
      </c>
      <c r="H1540" s="1">
        <v>5.4166666666666669E-3</v>
      </c>
      <c r="I1540">
        <v>2013</v>
      </c>
      <c r="J1540" t="s">
        <v>7</v>
      </c>
      <c r="K1540" s="2" t="str">
        <f>HYPERLINK("https://www.nba.com/stats/events?CFID=&amp;CFPARAMS=&amp;GameEventID=161&amp;GameID=0021301221&amp;Season=2013-14&amp;flag=1&amp;title=Bonner%2025'%203PT%20Jump%20Shot%20(3%20PTS)%20(Leonard%202%20AST)", "Bonner 25' 3PT Jump Shot (3 PTS) (Leonard 2 AST)")</f>
        <v>Bonner 25' 3PT Jump Shot (3 PTS) (Leonard 2 AST)</v>
      </c>
      <c r="L1540" s="2" t="str">
        <f>HYPERLINK("https://www.nba.com/game/...-vs-...-0021301221/play-by-play?watchFullGame=true", "SAS vs LAL - Q2 07:48.00")</f>
        <v>SAS vs LAL - Q2 07:48.00</v>
      </c>
      <c r="M1540">
        <v>25</v>
      </c>
      <c r="N1540">
        <v>140</v>
      </c>
      <c r="O1540">
        <v>208</v>
      </c>
      <c r="P1540">
        <v>140</v>
      </c>
      <c r="Q1540">
        <v>208</v>
      </c>
      <c r="R1540" t="s">
        <v>0</v>
      </c>
      <c r="S1540" t="s">
        <v>0</v>
      </c>
      <c r="T1540" t="s">
        <v>0</v>
      </c>
    </row>
    <row r="1541" spans="1:20" x14ac:dyDescent="0.25">
      <c r="A1541">
        <v>21400139</v>
      </c>
      <c r="B1541" t="s">
        <v>10</v>
      </c>
      <c r="C1541" t="s">
        <v>9</v>
      </c>
      <c r="D1541">
        <v>64</v>
      </c>
      <c r="E1541">
        <v>67</v>
      </c>
      <c r="F1541">
        <v>3</v>
      </c>
      <c r="G1541">
        <v>3</v>
      </c>
      <c r="H1541" s="1">
        <v>1.5393518518518519E-3</v>
      </c>
      <c r="I1541">
        <v>2014</v>
      </c>
      <c r="J1541" t="s">
        <v>7</v>
      </c>
      <c r="K1541" s="2" t="str">
        <f>HYPERLINK("https://www.nba.com/stats/events?CFID=&amp;CFPARAMS=&amp;GameEventID=333&amp;GameID=0021400139&amp;Season=2014-15&amp;flag=1&amp;title=Ginobili%2027'%203PT%20Jump%20Shot%20(15%20PTS)%20(Leonard%203%20AST)", "Ginobili 27' 3PT Jump Shot (15 PTS) (Leonard 3 AST)")</f>
        <v>Ginobili 27' 3PT Jump Shot (15 PTS) (Leonard 3 AST)</v>
      </c>
      <c r="L1541" s="2" t="str">
        <f>HYPERLINK("https://www.nba.com/game/...-vs-...-0021400139/play-by-play?watchFullGame=true", "SAS vs SAC - Q3 02:13.00")</f>
        <v>SAS vs SAC - Q3 02:13.00</v>
      </c>
      <c r="M1541">
        <v>27</v>
      </c>
      <c r="N1541">
        <v>-131</v>
      </c>
      <c r="O1541">
        <v>231</v>
      </c>
      <c r="P1541">
        <v>-131</v>
      </c>
      <c r="Q1541">
        <v>231</v>
      </c>
      <c r="R1541" t="s">
        <v>0</v>
      </c>
      <c r="S1541" t="s">
        <v>0</v>
      </c>
      <c r="T1541" t="s">
        <v>0</v>
      </c>
    </row>
    <row r="1542" spans="1:20" x14ac:dyDescent="0.25">
      <c r="A1542">
        <v>21400282</v>
      </c>
      <c r="B1542" t="s">
        <v>4</v>
      </c>
      <c r="C1542" t="s">
        <v>26</v>
      </c>
      <c r="D1542">
        <v>19</v>
      </c>
      <c r="E1542">
        <v>8</v>
      </c>
      <c r="F1542">
        <v>11</v>
      </c>
      <c r="G1542">
        <v>1</v>
      </c>
      <c r="H1542" s="1">
        <v>2.7314814814814814E-3</v>
      </c>
      <c r="I1542">
        <v>2014</v>
      </c>
      <c r="J1542" t="s">
        <v>7</v>
      </c>
      <c r="K1542" s="2" t="str">
        <f>HYPERLINK("https://www.nba.com/stats/events?CFID=&amp;CFPARAMS=&amp;GameEventID=71&amp;GameID=0021400282&amp;Season=2014-15&amp;flag=1&amp;title=Duncan%20%20Reverse%20Layup%20(4%20PTS)%20(Leonard%201%20AST)", "Duncan  Reverse Layup (4 PTS) (Leonard 1 AST)")</f>
        <v>Duncan  Reverse Layup (4 PTS) (Leonard 1 AST)</v>
      </c>
      <c r="L1542" s="2" t="str">
        <f>HYPERLINK("https://www.nba.com/game/...-vs-...-0021400282/play-by-play?watchFullGame=true", "SAS vs MEM - Q1 03:56.00")</f>
        <v>SAS vs MEM - Q1 03:56.00</v>
      </c>
      <c r="M1542">
        <v>0</v>
      </c>
      <c r="N1542">
        <v>4</v>
      </c>
      <c r="O1542">
        <v>0</v>
      </c>
      <c r="P1542">
        <v>4</v>
      </c>
      <c r="Q1542">
        <v>0</v>
      </c>
      <c r="R1542" t="s">
        <v>0</v>
      </c>
      <c r="S1542" t="s">
        <v>0</v>
      </c>
      <c r="T1542" t="s">
        <v>0</v>
      </c>
    </row>
    <row r="1543" spans="1:20" x14ac:dyDescent="0.25">
      <c r="A1543">
        <v>21400621</v>
      </c>
      <c r="B1543" t="s">
        <v>4</v>
      </c>
      <c r="C1543" t="s">
        <v>37</v>
      </c>
      <c r="D1543">
        <v>69</v>
      </c>
      <c r="E1543">
        <v>75</v>
      </c>
      <c r="F1543">
        <v>6</v>
      </c>
      <c r="G1543">
        <v>4</v>
      </c>
      <c r="H1543" s="1">
        <v>7.9745370370370369E-3</v>
      </c>
      <c r="I1543">
        <v>2014</v>
      </c>
      <c r="J1543" t="s">
        <v>12</v>
      </c>
      <c r="K1543" s="2" t="str">
        <f>HYPERLINK("https://www.nba.com/stats/events?CFID=&amp;CFPARAMS=&amp;GameEventID=400&amp;GameID=0021400621&amp;Season=2014-15&amp;flag=1&amp;title=Barton%20%20Driving%20Dunk%20(2%20PTS)%20(Leonard%201%20AST)", "Barton  Driving Dunk (2 PTS) (Leonard 1 AST)")</f>
        <v>Barton  Driving Dunk (2 PTS) (Leonard 1 AST)</v>
      </c>
      <c r="L1543" s="2" t="str">
        <f>HYPERLINK("https://www.nba.com/game/...-vs-...-0021400621/play-by-play?watchFullGame=true", "POR vs SAC - Q4 11:29.00")</f>
        <v>POR vs SAC - Q4 11:29.00</v>
      </c>
      <c r="M1543">
        <v>0</v>
      </c>
      <c r="N1543">
        <v>0</v>
      </c>
      <c r="O1543">
        <v>1</v>
      </c>
      <c r="P1543">
        <v>0</v>
      </c>
      <c r="Q1543">
        <v>1</v>
      </c>
      <c r="R1543" t="s">
        <v>0</v>
      </c>
      <c r="S1543" t="s">
        <v>0</v>
      </c>
      <c r="T1543" t="s">
        <v>0</v>
      </c>
    </row>
    <row r="1544" spans="1:20" x14ac:dyDescent="0.25">
      <c r="A1544">
        <v>21400639</v>
      </c>
      <c r="B1544" t="s">
        <v>10</v>
      </c>
      <c r="C1544" t="s">
        <v>9</v>
      </c>
      <c r="D1544">
        <v>70</v>
      </c>
      <c r="E1544">
        <v>67</v>
      </c>
      <c r="F1544">
        <v>3</v>
      </c>
      <c r="G1544">
        <v>3</v>
      </c>
      <c r="H1544" s="1">
        <v>3.4606481481481478E-4</v>
      </c>
      <c r="I1544">
        <v>2014</v>
      </c>
      <c r="J1544" t="s">
        <v>12</v>
      </c>
      <c r="K1544" s="2" t="str">
        <f>HYPERLINK("https://www.nba.com/stats/events?CFID=&amp;CFPARAMS=&amp;GameEventID=335&amp;GameID=0021400639&amp;Season=2014-15&amp;flag=1&amp;title=McCollum%2025'%203PT%20Jump%20Shot%20(7%20PTS)%20(Leonard%201%20AST)", "McCollum 25' 3PT Jump Shot (7 PTS) (Leonard 1 AST)")</f>
        <v>McCollum 25' 3PT Jump Shot (7 PTS) (Leonard 1 AST)</v>
      </c>
      <c r="L1544" s="2" t="str">
        <f>HYPERLINK("https://www.nba.com/game/...-vs-...-0021400639/play-by-play?watchFullGame=true", "POR vs BOS - Q3 00:29.90")</f>
        <v>POR vs BOS - Q3 00:29.90</v>
      </c>
      <c r="M1544">
        <v>25</v>
      </c>
      <c r="N1544">
        <v>125</v>
      </c>
      <c r="O1544">
        <v>222</v>
      </c>
      <c r="P1544">
        <v>125</v>
      </c>
      <c r="Q1544">
        <v>222</v>
      </c>
      <c r="R1544" t="s">
        <v>0</v>
      </c>
      <c r="S1544" t="s">
        <v>0</v>
      </c>
      <c r="T1544" t="s">
        <v>0</v>
      </c>
    </row>
    <row r="1545" spans="1:20" x14ac:dyDescent="0.25">
      <c r="A1545">
        <v>21400921</v>
      </c>
      <c r="B1545" t="s">
        <v>4</v>
      </c>
      <c r="C1545" t="s">
        <v>9</v>
      </c>
      <c r="D1545">
        <v>51</v>
      </c>
      <c r="E1545">
        <v>47</v>
      </c>
      <c r="F1545">
        <v>4</v>
      </c>
      <c r="G1545">
        <v>2</v>
      </c>
      <c r="H1545" s="1">
        <v>2.673611111111111E-3</v>
      </c>
      <c r="I1545">
        <v>2014</v>
      </c>
      <c r="J1545" t="s">
        <v>7</v>
      </c>
      <c r="K1545" s="2" t="str">
        <f>HYPERLINK("https://www.nba.com/stats/events?CFID=&amp;CFPARAMS=&amp;GameEventID=209&amp;GameID=0021400921&amp;Season=2014-15&amp;flag=1&amp;title=Parker%2018'%20Jump%20Shot%20(8%20PTS)%20(Leonard%202%20AST)", "Parker 18' Jump Shot (8 PTS) (Leonard 2 AST)")</f>
        <v>Parker 18' Jump Shot (8 PTS) (Leonard 2 AST)</v>
      </c>
      <c r="L1545" s="2" t="str">
        <f>HYPERLINK("https://www.nba.com/game/...-vs-...-0021400921/play-by-play?watchFullGame=true", "SAS vs DEN - Q2 03:51.00")</f>
        <v>SAS vs DEN - Q2 03:51.00</v>
      </c>
      <c r="M1545">
        <v>18</v>
      </c>
      <c r="N1545">
        <v>-123</v>
      </c>
      <c r="O1545">
        <v>138</v>
      </c>
      <c r="P1545">
        <v>-123</v>
      </c>
      <c r="Q1545">
        <v>138</v>
      </c>
      <c r="R1545" t="s">
        <v>0</v>
      </c>
      <c r="S1545" t="s">
        <v>0</v>
      </c>
      <c r="T1545" t="s">
        <v>0</v>
      </c>
    </row>
    <row r="1546" spans="1:20" x14ac:dyDescent="0.25">
      <c r="A1546">
        <v>21400249</v>
      </c>
      <c r="B1546" t="s">
        <v>4</v>
      </c>
      <c r="C1546" t="s">
        <v>19</v>
      </c>
      <c r="D1546">
        <v>42</v>
      </c>
      <c r="E1546">
        <v>25</v>
      </c>
      <c r="F1546">
        <v>17</v>
      </c>
      <c r="G1546">
        <v>2</v>
      </c>
      <c r="H1546" s="1">
        <v>5.6365740740740742E-3</v>
      </c>
      <c r="I1546">
        <v>2014</v>
      </c>
      <c r="J1546" t="s">
        <v>7</v>
      </c>
      <c r="K1546" s="2" t="str">
        <f>HYPERLINK("https://www.nba.com/stats/events?CFID=&amp;CFPARAMS=&amp;GameEventID=179&amp;GameID=0021400249&amp;Season=2014-15&amp;flag=1&amp;title=Baynes%2012'%20Pullup%20Jump%20Shot%20(10%20PTS)%20(Leonard%202%20AST)", "Baynes 12' Pullup Jump Shot (10 PTS) (Leonard 2 AST)")</f>
        <v>Baynes 12' Pullup Jump Shot (10 PTS) (Leonard 2 AST)</v>
      </c>
      <c r="L1546" s="2" t="str">
        <f>HYPERLINK("https://www.nba.com/game/...-vs-...-0021400249/play-by-play?watchFullGame=true", "SAS vs PHI - Q2 08:07.00")</f>
        <v>SAS vs PHI - Q2 08:07.00</v>
      </c>
      <c r="M1546">
        <v>12</v>
      </c>
      <c r="N1546">
        <v>121</v>
      </c>
      <c r="O1546">
        <v>-16</v>
      </c>
      <c r="P1546">
        <v>121</v>
      </c>
      <c r="Q1546">
        <v>-16</v>
      </c>
      <c r="R1546" t="s">
        <v>0</v>
      </c>
      <c r="S1546" t="s">
        <v>0</v>
      </c>
      <c r="T1546" t="s">
        <v>0</v>
      </c>
    </row>
    <row r="1547" spans="1:20" x14ac:dyDescent="0.25">
      <c r="A1547">
        <v>21400595</v>
      </c>
      <c r="B1547" t="s">
        <v>4</v>
      </c>
      <c r="C1547" t="s">
        <v>9</v>
      </c>
      <c r="D1547">
        <v>32</v>
      </c>
      <c r="E1547">
        <v>38</v>
      </c>
      <c r="F1547">
        <v>6</v>
      </c>
      <c r="G1547">
        <v>2</v>
      </c>
      <c r="H1547" s="1">
        <v>7.4421296296296293E-3</v>
      </c>
      <c r="I1547">
        <v>2014</v>
      </c>
      <c r="J1547" t="s">
        <v>12</v>
      </c>
      <c r="K1547" s="2" t="str">
        <f>HYPERLINK("https://www.nba.com/stats/events?CFID=&amp;CFPARAMS=&amp;GameEventID=118&amp;GameID=0021400595&amp;Season=2014-15&amp;flag=1&amp;title=McCollum%2021'%20Jump%20Shot%20(8%20PTS)%20(Leonard%201%20AST)", "McCollum 21' Jump Shot (8 PTS) (Leonard 1 AST)")</f>
        <v>McCollum 21' Jump Shot (8 PTS) (Leonard 1 AST)</v>
      </c>
      <c r="L1547" s="2" t="str">
        <f>HYPERLINK("https://www.nba.com/game/...-vs-...-0021400595/play-by-play?watchFullGame=true", "POR vs SAS - Q2 10:43.00")</f>
        <v>POR vs SAS - Q2 10:43.00</v>
      </c>
      <c r="M1547">
        <v>21</v>
      </c>
      <c r="N1547">
        <v>-198</v>
      </c>
      <c r="O1547">
        <v>66</v>
      </c>
      <c r="P1547">
        <v>-198</v>
      </c>
      <c r="Q1547">
        <v>66</v>
      </c>
      <c r="R1547" t="s">
        <v>0</v>
      </c>
      <c r="S1547" t="s">
        <v>0</v>
      </c>
      <c r="T1547" t="s">
        <v>0</v>
      </c>
    </row>
    <row r="1548" spans="1:20" x14ac:dyDescent="0.25">
      <c r="A1548">
        <v>21400595</v>
      </c>
      <c r="B1548" t="s">
        <v>4</v>
      </c>
      <c r="C1548" t="s">
        <v>26</v>
      </c>
      <c r="D1548">
        <v>95</v>
      </c>
      <c r="E1548">
        <v>79</v>
      </c>
      <c r="F1548">
        <v>16</v>
      </c>
      <c r="G1548">
        <v>4</v>
      </c>
      <c r="H1548" s="1">
        <v>7.4537037037037037E-3</v>
      </c>
      <c r="I1548">
        <v>2014</v>
      </c>
      <c r="J1548" t="s">
        <v>7</v>
      </c>
      <c r="K1548" s="2" t="str">
        <f>HYPERLINK("https://www.nba.com/stats/events?CFID=&amp;CFPARAMS=&amp;GameEventID=398&amp;GameID=0021400595&amp;Season=2014-15&amp;flag=1&amp;title=Baynes%201'%20Reverse%20Layup%20(3%20PTS)%20(Leonard%204%20AST)", "Baynes 1' Reverse Layup (3 PTS) (Leonard 4 AST)")</f>
        <v>Baynes 1' Reverse Layup (3 PTS) (Leonard 4 AST)</v>
      </c>
      <c r="L1548" s="2" t="str">
        <f>HYPERLINK("https://www.nba.com/game/...-vs-...-0021400595/play-by-play?watchFullGame=true", "SAS vs POR - Q4 10:44.00")</f>
        <v>SAS vs POR - Q4 10:44.00</v>
      </c>
      <c r="M1548">
        <v>1</v>
      </c>
      <c r="N1548">
        <v>-10</v>
      </c>
      <c r="O1548">
        <v>-5</v>
      </c>
      <c r="P1548">
        <v>-10</v>
      </c>
      <c r="Q1548">
        <v>-5</v>
      </c>
      <c r="R1548" t="s">
        <v>0</v>
      </c>
      <c r="S1548" t="s">
        <v>0</v>
      </c>
      <c r="T1548" t="s">
        <v>0</v>
      </c>
    </row>
    <row r="1549" spans="1:20" x14ac:dyDescent="0.25">
      <c r="A1549">
        <v>21400757</v>
      </c>
      <c r="B1549" t="s">
        <v>4</v>
      </c>
      <c r="C1549" t="s">
        <v>9</v>
      </c>
      <c r="D1549">
        <v>60</v>
      </c>
      <c r="E1549">
        <v>49</v>
      </c>
      <c r="F1549">
        <v>11</v>
      </c>
      <c r="G1549">
        <v>3</v>
      </c>
      <c r="H1549" s="1">
        <v>5.092592592592593E-3</v>
      </c>
      <c r="I1549">
        <v>2014</v>
      </c>
      <c r="J1549" t="s">
        <v>7</v>
      </c>
      <c r="K1549" s="2" t="str">
        <f>HYPERLINK("https://www.nba.com/stats/events?CFID=&amp;CFPARAMS=&amp;GameEventID=251&amp;GameID=0021400757&amp;Season=2014-15&amp;flag=1&amp;title=Belinelli%2022'%20Jump%20Shot%20(3%20PTS)%20(Leonard%203%20AST)", "Belinelli 22' Jump Shot (3 PTS) (Leonard 3 AST)")</f>
        <v>Belinelli 22' Jump Shot (3 PTS) (Leonard 3 AST)</v>
      </c>
      <c r="L1549" s="2" t="str">
        <f>HYPERLINK("https://www.nba.com/game/...-vs-...-0021400757/play-by-play?watchFullGame=true", "SAS vs MIA - Q3 07:20.00")</f>
        <v>SAS vs MIA - Q3 07:20.00</v>
      </c>
      <c r="M1549">
        <v>22</v>
      </c>
      <c r="N1549">
        <v>217</v>
      </c>
      <c r="O1549">
        <v>28</v>
      </c>
      <c r="P1549">
        <v>217</v>
      </c>
      <c r="Q1549">
        <v>28</v>
      </c>
      <c r="R1549" t="s">
        <v>0</v>
      </c>
      <c r="S1549" t="s">
        <v>0</v>
      </c>
      <c r="T1549" t="s">
        <v>0</v>
      </c>
    </row>
    <row r="1550" spans="1:20" x14ac:dyDescent="0.25">
      <c r="A1550">
        <v>21400790</v>
      </c>
      <c r="B1550" t="s">
        <v>4</v>
      </c>
      <c r="C1550" t="s">
        <v>5</v>
      </c>
      <c r="D1550">
        <v>84</v>
      </c>
      <c r="E1550">
        <v>69</v>
      </c>
      <c r="F1550">
        <v>15</v>
      </c>
      <c r="G1550">
        <v>4</v>
      </c>
      <c r="H1550" s="1">
        <v>6.8634259259259256E-3</v>
      </c>
      <c r="I1550">
        <v>2014</v>
      </c>
      <c r="J1550" t="s">
        <v>7</v>
      </c>
      <c r="K1550" s="2" t="str">
        <f>HYPERLINK("https://www.nba.com/stats/events?CFID=&amp;CFPARAMS=&amp;GameEventID=363&amp;GameID=0021400790&amp;Season=2014-15&amp;flag=1&amp;title=Splitter%201'%20Layup%20(4%20PTS)%20(Leonard%203%20AST)", "Splitter 1' Layup (4 PTS) (Leonard 3 AST)")</f>
        <v>Splitter 1' Layup (4 PTS) (Leonard 3 AST)</v>
      </c>
      <c r="L1550" s="2" t="str">
        <f>HYPERLINK("https://www.nba.com/game/...-vs-...-0021400790/play-by-play?watchFullGame=true", "SAS vs DET - Q4 09:53.00")</f>
        <v>SAS vs DET - Q4 09:53.00</v>
      </c>
      <c r="M1550">
        <v>1</v>
      </c>
      <c r="N1550">
        <v>-2</v>
      </c>
      <c r="O1550">
        <v>7</v>
      </c>
      <c r="P1550">
        <v>-2</v>
      </c>
      <c r="Q1550">
        <v>7</v>
      </c>
      <c r="R1550" t="s">
        <v>0</v>
      </c>
      <c r="S1550" t="s">
        <v>0</v>
      </c>
      <c r="T1550" t="s">
        <v>0</v>
      </c>
    </row>
    <row r="1551" spans="1:20" x14ac:dyDescent="0.25">
      <c r="A1551">
        <v>21400802</v>
      </c>
      <c r="B1551" t="s">
        <v>4</v>
      </c>
      <c r="C1551" t="s">
        <v>9</v>
      </c>
      <c r="D1551">
        <v>39</v>
      </c>
      <c r="E1551">
        <v>40</v>
      </c>
      <c r="F1551">
        <v>1</v>
      </c>
      <c r="G1551">
        <v>2</v>
      </c>
      <c r="H1551" s="1">
        <v>2.8819444444444444E-3</v>
      </c>
      <c r="I1551">
        <v>2014</v>
      </c>
      <c r="J1551" t="s">
        <v>7</v>
      </c>
      <c r="K1551" s="2" t="str">
        <f>HYPERLINK("https://www.nba.com/stats/events?CFID=&amp;CFPARAMS=&amp;GameEventID=194&amp;GameID=0021400802&amp;Season=2014-15&amp;flag=1&amp;title=Belinelli%2019'%20Jump%20Shot%20(5%20PTS)%20(Leonard%204%20AST)", "Belinelli 19' Jump Shot (5 PTS) (Leonard 4 AST)")</f>
        <v>Belinelli 19' Jump Shot (5 PTS) (Leonard 4 AST)</v>
      </c>
      <c r="L1551" s="2" t="str">
        <f>HYPERLINK("https://www.nba.com/game/...-vs-...-0021400802/play-by-play?watchFullGame=true", "SAS vs LAC - Q2 04:09.00")</f>
        <v>SAS vs LAC - Q2 04:09.00</v>
      </c>
      <c r="M1551">
        <v>19</v>
      </c>
      <c r="N1551">
        <v>91</v>
      </c>
      <c r="O1551">
        <v>167</v>
      </c>
      <c r="P1551">
        <v>91</v>
      </c>
      <c r="Q1551">
        <v>167</v>
      </c>
      <c r="R1551" t="s">
        <v>0</v>
      </c>
      <c r="S1551" t="s">
        <v>0</v>
      </c>
      <c r="T1551" t="s">
        <v>0</v>
      </c>
    </row>
    <row r="1552" spans="1:20" x14ac:dyDescent="0.25">
      <c r="A1552">
        <v>21400867</v>
      </c>
      <c r="B1552" t="s">
        <v>10</v>
      </c>
      <c r="C1552" t="s">
        <v>9</v>
      </c>
      <c r="D1552">
        <v>37</v>
      </c>
      <c r="E1552">
        <v>39</v>
      </c>
      <c r="F1552">
        <v>2</v>
      </c>
      <c r="G1552">
        <v>2</v>
      </c>
      <c r="H1552" s="1">
        <v>2.5694444444444445E-3</v>
      </c>
      <c r="I1552">
        <v>2014</v>
      </c>
      <c r="J1552" t="s">
        <v>7</v>
      </c>
      <c r="K1552" s="2" t="str">
        <f>HYPERLINK("https://www.nba.com/stats/events?CFID=&amp;CFPARAMS=&amp;GameEventID=225&amp;GameID=0021400867&amp;Season=2014-15&amp;flag=1&amp;title=Belinelli%2025'%203PT%20Jump%20Shot%20(6%20PTS)%20(Leonard%202%20AST)", "Belinelli 25' 3PT Jump Shot (6 PTS) (Leonard 2 AST)")</f>
        <v>Belinelli 25' 3PT Jump Shot (6 PTS) (Leonard 2 AST)</v>
      </c>
      <c r="L1552" s="2" t="str">
        <f>HYPERLINK("https://www.nba.com/game/...-vs-...-0021400867/play-by-play?watchFullGame=true", "SAS vs SAC - Q2 03:42.00")</f>
        <v>SAS vs SAC - Q2 03:42.00</v>
      </c>
      <c r="M1552">
        <v>25</v>
      </c>
      <c r="N1552">
        <v>152</v>
      </c>
      <c r="O1552">
        <v>200</v>
      </c>
      <c r="P1552">
        <v>152</v>
      </c>
      <c r="Q1552">
        <v>200</v>
      </c>
      <c r="R1552" t="s">
        <v>0</v>
      </c>
      <c r="S1552" t="s">
        <v>0</v>
      </c>
      <c r="T1552" t="s">
        <v>0</v>
      </c>
    </row>
    <row r="1553" spans="1:20" x14ac:dyDescent="0.25">
      <c r="A1553">
        <v>21401039</v>
      </c>
      <c r="B1553" t="s">
        <v>4</v>
      </c>
      <c r="C1553" t="s">
        <v>5</v>
      </c>
      <c r="D1553">
        <v>73</v>
      </c>
      <c r="E1553">
        <v>51</v>
      </c>
      <c r="F1553">
        <v>22</v>
      </c>
      <c r="G1553">
        <v>3</v>
      </c>
      <c r="H1553" s="1">
        <v>4.7453703703703703E-3</v>
      </c>
      <c r="I1553">
        <v>2014</v>
      </c>
      <c r="J1553" t="s">
        <v>7</v>
      </c>
      <c r="K1553" s="2" t="str">
        <f>HYPERLINK("https://www.nba.com/stats/events?CFID=&amp;CFPARAMS=&amp;GameEventID=303&amp;GameID=0021401039&amp;Season=2014-15&amp;flag=1&amp;title=Splitter%202'%20Layup%20(21%20PTS)%20(Leonard%206%20AST)", "Splitter 2' Layup (21 PTS) (Leonard 6 AST)")</f>
        <v>Splitter 2' Layup (21 PTS) (Leonard 6 AST)</v>
      </c>
      <c r="L1553" s="2" t="str">
        <f>HYPERLINK("https://www.nba.com/game/...-vs-...-0021401039/play-by-play?watchFullGame=true", "SAS vs ATL - Q3 06:50.00")</f>
        <v>SAS vs ATL - Q3 06:50.00</v>
      </c>
      <c r="M1553">
        <v>2</v>
      </c>
      <c r="N1553">
        <v>-18</v>
      </c>
      <c r="O1553">
        <v>-2</v>
      </c>
      <c r="P1553">
        <v>-18</v>
      </c>
      <c r="Q1553">
        <v>-2</v>
      </c>
      <c r="R1553" t="s">
        <v>0</v>
      </c>
      <c r="S1553" t="s">
        <v>0</v>
      </c>
      <c r="T1553" t="s">
        <v>0</v>
      </c>
    </row>
    <row r="1554" spans="1:20" x14ac:dyDescent="0.25">
      <c r="A1554">
        <v>21800930</v>
      </c>
      <c r="B1554" t="s">
        <v>4</v>
      </c>
      <c r="C1554" t="s">
        <v>20</v>
      </c>
      <c r="D1554">
        <v>50</v>
      </c>
      <c r="E1554">
        <v>43</v>
      </c>
      <c r="F1554">
        <v>7</v>
      </c>
      <c r="G1554">
        <v>2</v>
      </c>
      <c r="H1554" s="1">
        <v>2.5694444444444445E-3</v>
      </c>
      <c r="I1554">
        <v>2018</v>
      </c>
      <c r="J1554" t="s">
        <v>1</v>
      </c>
      <c r="K1554" s="2" t="str">
        <f>HYPERLINK("https://www.nba.com/stats/events?CFID=&amp;CFPARAMS=&amp;GameEventID=256&amp;GameID=0021800930&amp;Season=2018-19&amp;flag=1&amp;title=Gasol%201'%20Cutting%20Layup%20Shot%20(11%20PTS)%20(Leonard%202%20AST)", "Gasol 1' Cutting Layup Shot (11 PTS) (Leonard 2 AST)")</f>
        <v>Gasol 1' Cutting Layup Shot (11 PTS) (Leonard 2 AST)</v>
      </c>
      <c r="L1554" s="2" t="str">
        <f>HYPERLINK("https://www.nba.com/game/...-vs-...-0021800930/play-by-play?watchFullGame=true", "TOR vs POR - Q2 03:42.00")</f>
        <v>TOR vs POR - Q2 03:42.00</v>
      </c>
      <c r="M1554">
        <v>1</v>
      </c>
      <c r="N1554">
        <v>-3</v>
      </c>
      <c r="O1554">
        <v>4</v>
      </c>
      <c r="P1554">
        <v>-3</v>
      </c>
      <c r="Q1554">
        <v>4</v>
      </c>
      <c r="R1554" t="s">
        <v>0</v>
      </c>
      <c r="S1554" t="s">
        <v>0</v>
      </c>
      <c r="T1554" t="s">
        <v>0</v>
      </c>
    </row>
    <row r="1555" spans="1:20" x14ac:dyDescent="0.25">
      <c r="A1555">
        <v>21800930</v>
      </c>
      <c r="B1555" t="s">
        <v>10</v>
      </c>
      <c r="C1555" t="s">
        <v>9</v>
      </c>
      <c r="D1555">
        <v>113</v>
      </c>
      <c r="E1555">
        <v>113</v>
      </c>
      <c r="F1555">
        <v>0</v>
      </c>
      <c r="G1555">
        <v>4</v>
      </c>
      <c r="H1555" s="1">
        <v>6.6435185185185184E-4</v>
      </c>
      <c r="I1555">
        <v>2018</v>
      </c>
      <c r="J1555" t="s">
        <v>1</v>
      </c>
      <c r="K1555" s="2" t="str">
        <f>HYPERLINK("https://www.nba.com/stats/events?CFID=&amp;CFPARAMS=&amp;GameEventID=611&amp;GameID=0021800930&amp;Season=2018-19&amp;flag=1&amp;title=Green%203PT%20Jump%20Shot%20(11%20PTS)%20(Leonard%205%20AST)", "Green 3PT Jump Shot (11 PTS) (Leonard 5 AST)")</f>
        <v>Green 3PT Jump Shot (11 PTS) (Leonard 5 AST)</v>
      </c>
      <c r="L1555" s="2" t="str">
        <f>HYPERLINK("https://www.nba.com/game/...-vs-...-0021800930/play-by-play?watchFullGame=true", "TOR vs POR - Q4 00:57.40")</f>
        <v>TOR vs POR - Q4 00:57.40</v>
      </c>
      <c r="M1555">
        <v>0</v>
      </c>
      <c r="N1555">
        <v>233</v>
      </c>
      <c r="O1555">
        <v>15</v>
      </c>
      <c r="P1555">
        <v>233</v>
      </c>
      <c r="Q1555">
        <v>15</v>
      </c>
      <c r="R1555" t="s">
        <v>0</v>
      </c>
      <c r="S1555" t="s">
        <v>0</v>
      </c>
      <c r="T1555" t="s">
        <v>0</v>
      </c>
    </row>
    <row r="1556" spans="1:20" x14ac:dyDescent="0.25">
      <c r="A1556">
        <v>21800983</v>
      </c>
      <c r="B1556" t="s">
        <v>4</v>
      </c>
      <c r="C1556" t="s">
        <v>9</v>
      </c>
      <c r="D1556">
        <v>11</v>
      </c>
      <c r="E1556">
        <v>11</v>
      </c>
      <c r="F1556">
        <v>0</v>
      </c>
      <c r="G1556">
        <v>1</v>
      </c>
      <c r="H1556" s="1">
        <v>5.1041666666666666E-3</v>
      </c>
      <c r="I1556">
        <v>2018</v>
      </c>
      <c r="J1556" t="s">
        <v>1</v>
      </c>
      <c r="K1556" s="2" t="str">
        <f>HYPERLINK("https://www.nba.com/stats/events?CFID=&amp;CFPARAMS=&amp;GameEventID=60&amp;GameID=0021800983&amp;Season=2018-19&amp;flag=1&amp;title=Ibaka%2011'%20Jump%20Shot%20(2%20PTS)%20(Leonard%201%20AST)", "Ibaka 11' Jump Shot (2 PTS) (Leonard 1 AST)")</f>
        <v>Ibaka 11' Jump Shot (2 PTS) (Leonard 1 AST)</v>
      </c>
      <c r="L1556" s="2" t="str">
        <f>HYPERLINK("https://www.nba.com/game/...-vs-...-0021800983/play-by-play?watchFullGame=true", "TOR vs NOP - Q1 07:21.00")</f>
        <v>TOR vs NOP - Q1 07:21.00</v>
      </c>
      <c r="M1556">
        <v>11</v>
      </c>
      <c r="N1556">
        <v>-97</v>
      </c>
      <c r="O1556">
        <v>46</v>
      </c>
      <c r="P1556">
        <v>-97</v>
      </c>
      <c r="Q1556">
        <v>46</v>
      </c>
      <c r="R1556" t="s">
        <v>0</v>
      </c>
      <c r="S1556" t="s">
        <v>0</v>
      </c>
      <c r="T1556" t="s">
        <v>0</v>
      </c>
    </row>
    <row r="1557" spans="1:20" x14ac:dyDescent="0.25">
      <c r="A1557">
        <v>21801156</v>
      </c>
      <c r="B1557" t="s">
        <v>10</v>
      </c>
      <c r="C1557" t="s">
        <v>9</v>
      </c>
      <c r="D1557">
        <v>27</v>
      </c>
      <c r="E1557">
        <v>32</v>
      </c>
      <c r="F1557">
        <v>5</v>
      </c>
      <c r="G1557">
        <v>1</v>
      </c>
      <c r="H1557" s="1">
        <v>2.0833333333333333E-3</v>
      </c>
      <c r="I1557">
        <v>2018</v>
      </c>
      <c r="J1557" t="s">
        <v>1</v>
      </c>
      <c r="K1557" s="2" t="str">
        <f>HYPERLINK("https://www.nba.com/stats/events?CFID=&amp;CFPARAMS=&amp;GameEventID=106&amp;GameID=0021801156&amp;Season=2018-19&amp;flag=1&amp;title=Green%2024'%203PT%20Jump%20Shot%20(16%20PTS)%20(Leonard%204%20AST)", "Green 24' 3PT Jump Shot (16 PTS) (Leonard 4 AST)")</f>
        <v>Green 24' 3PT Jump Shot (16 PTS) (Leonard 4 AST)</v>
      </c>
      <c r="L1557" s="2" t="str">
        <f>HYPERLINK("https://www.nba.com/game/...-vs-...-0021801156/play-by-play?watchFullGame=true", "TOR vs ORL - Q1 03:00.00")</f>
        <v>TOR vs ORL - Q1 03:00.00</v>
      </c>
      <c r="M1557">
        <v>24</v>
      </c>
      <c r="N1557">
        <v>-236</v>
      </c>
      <c r="O1557">
        <v>11</v>
      </c>
      <c r="P1557">
        <v>-236</v>
      </c>
      <c r="Q1557">
        <v>11</v>
      </c>
      <c r="R1557" t="s">
        <v>0</v>
      </c>
      <c r="S1557" t="s">
        <v>0</v>
      </c>
      <c r="T1557" t="s">
        <v>0</v>
      </c>
    </row>
    <row r="1558" spans="1:20" x14ac:dyDescent="0.25">
      <c r="A1558">
        <v>21801195</v>
      </c>
      <c r="B1558" t="s">
        <v>10</v>
      </c>
      <c r="C1558" t="s">
        <v>9</v>
      </c>
      <c r="D1558">
        <v>34</v>
      </c>
      <c r="E1558">
        <v>36</v>
      </c>
      <c r="F1558">
        <v>2</v>
      </c>
      <c r="G1558">
        <v>2</v>
      </c>
      <c r="H1558" s="1">
        <v>6.5624999999999998E-3</v>
      </c>
      <c r="I1558">
        <v>2018</v>
      </c>
      <c r="J1558" t="s">
        <v>1</v>
      </c>
      <c r="K1558" s="2" t="str">
        <f>HYPERLINK("https://www.nba.com/stats/events?CFID=&amp;CFPARAMS=&amp;GameEventID=203&amp;GameID=0021801195&amp;Season=2018-19&amp;flag=1&amp;title=VanVleet%2026'%203PT%20Jump%20Shot%20(3%20PTS)%20(Leonard%201%20AST)", "VanVleet 26' 3PT Jump Shot (3 PTS) (Leonard 1 AST)")</f>
        <v>VanVleet 26' 3PT Jump Shot (3 PTS) (Leonard 1 AST)</v>
      </c>
      <c r="L1558" s="2" t="str">
        <f>HYPERLINK("https://www.nba.com/game/...-vs-...-0021801195/play-by-play?watchFullGame=true", "TOR vs MIA - Q2 09:27.00")</f>
        <v>TOR vs MIA - Q2 09:27.00</v>
      </c>
      <c r="M1558">
        <v>26</v>
      </c>
      <c r="N1558">
        <v>156</v>
      </c>
      <c r="O1558">
        <v>206</v>
      </c>
      <c r="P1558">
        <v>156</v>
      </c>
      <c r="Q1558">
        <v>206</v>
      </c>
      <c r="R1558" t="s">
        <v>0</v>
      </c>
      <c r="S1558" t="s">
        <v>0</v>
      </c>
      <c r="T1558" t="s">
        <v>0</v>
      </c>
    </row>
    <row r="1559" spans="1:20" x14ac:dyDescent="0.25">
      <c r="A1559">
        <v>21401010</v>
      </c>
      <c r="B1559" t="s">
        <v>4</v>
      </c>
      <c r="C1559" t="s">
        <v>5</v>
      </c>
      <c r="D1559">
        <v>46</v>
      </c>
      <c r="E1559">
        <v>41</v>
      </c>
      <c r="F1559">
        <v>5</v>
      </c>
      <c r="G1559">
        <v>2</v>
      </c>
      <c r="H1559" s="1">
        <v>4.1666666666666666E-3</v>
      </c>
      <c r="I1559">
        <v>2014</v>
      </c>
      <c r="J1559" t="s">
        <v>7</v>
      </c>
      <c r="K1559" s="2" t="str">
        <f>HYPERLINK("https://www.nba.com/stats/events?CFID=&amp;CFPARAMS=&amp;GameEventID=205&amp;GameID=0021401010&amp;Season=2014-15&amp;flag=1&amp;title=Green%201'%20Layup%20(10%20PTS)%20(Leonard%202%20AST)", "Green 1' Layup (10 PTS) (Leonard 2 AST)")</f>
        <v>Green 1' Layup (10 PTS) (Leonard 2 AST)</v>
      </c>
      <c r="L1559" s="2" t="str">
        <f>HYPERLINK("https://www.nba.com/game/...-vs-...-0021401010/play-by-play?watchFullGame=true", "SAS vs MIL - Q2 06:00.00")</f>
        <v>SAS vs MIL - Q2 06:00.00</v>
      </c>
      <c r="M1559">
        <v>1</v>
      </c>
      <c r="N1559">
        <v>7</v>
      </c>
      <c r="O1559">
        <v>0</v>
      </c>
      <c r="P1559">
        <v>7</v>
      </c>
      <c r="Q1559">
        <v>0</v>
      </c>
      <c r="R1559" t="s">
        <v>0</v>
      </c>
      <c r="S1559" t="s">
        <v>0</v>
      </c>
      <c r="T1559" t="s">
        <v>0</v>
      </c>
    </row>
    <row r="1560" spans="1:20" x14ac:dyDescent="0.25">
      <c r="A1560">
        <v>21401071</v>
      </c>
      <c r="B1560" t="s">
        <v>10</v>
      </c>
      <c r="C1560" t="s">
        <v>9</v>
      </c>
      <c r="D1560">
        <v>14</v>
      </c>
      <c r="E1560">
        <v>12</v>
      </c>
      <c r="F1560">
        <v>2</v>
      </c>
      <c r="G1560">
        <v>1</v>
      </c>
      <c r="H1560" s="1">
        <v>4.6527777777777774E-3</v>
      </c>
      <c r="I1560">
        <v>2014</v>
      </c>
      <c r="J1560" t="s">
        <v>7</v>
      </c>
      <c r="K1560" s="2" t="str">
        <f>HYPERLINK("https://www.nba.com/stats/events?CFID=&amp;CFPARAMS=&amp;GameEventID=41&amp;GameID=0021401071&amp;Season=2014-15&amp;flag=1&amp;title=Parker%2024'%203PT%20Jump%20Shot%20(7%20PTS)%20(Leonard%203%20AST)", "Parker 24' 3PT Jump Shot (7 PTS) (Leonard 3 AST)")</f>
        <v>Parker 24' 3PT Jump Shot (7 PTS) (Leonard 3 AST)</v>
      </c>
      <c r="L1560" s="2" t="str">
        <f>HYPERLINK("https://www.nba.com/game/...-vs-...-0021401071/play-by-play?watchFullGame=true", "SAS vs OKC - Q1 06:42.00")</f>
        <v>SAS vs OKC - Q1 06:42.00</v>
      </c>
      <c r="M1560">
        <v>24</v>
      </c>
      <c r="N1560">
        <v>237</v>
      </c>
      <c r="O1560">
        <v>17</v>
      </c>
      <c r="P1560">
        <v>237</v>
      </c>
      <c r="Q1560">
        <v>17</v>
      </c>
      <c r="R1560" t="s">
        <v>0</v>
      </c>
      <c r="S1560" t="s">
        <v>0</v>
      </c>
      <c r="T1560" t="s">
        <v>0</v>
      </c>
    </row>
    <row r="1561" spans="1:20" x14ac:dyDescent="0.25">
      <c r="A1561">
        <v>21401181</v>
      </c>
      <c r="B1561" t="s">
        <v>10</v>
      </c>
      <c r="C1561" t="s">
        <v>9</v>
      </c>
      <c r="D1561">
        <v>77</v>
      </c>
      <c r="E1561">
        <v>75</v>
      </c>
      <c r="F1561">
        <v>2</v>
      </c>
      <c r="G1561">
        <v>3</v>
      </c>
      <c r="H1561" s="1">
        <v>4.5254629629629632E-4</v>
      </c>
      <c r="I1561">
        <v>2014</v>
      </c>
      <c r="J1561" t="s">
        <v>7</v>
      </c>
      <c r="K1561" s="2" t="str">
        <f>HYPERLINK("https://www.nba.com/stats/events?CFID=&amp;CFPARAMS=&amp;GameEventID=419&amp;GameID=0021401181&amp;Season=2014-15&amp;flag=1&amp;title=Mills%2024'%203PT%20Jump%20Shot%20(8%20PTS)%20(Leonard%201%20AST)", "Mills 24' 3PT Jump Shot (8 PTS) (Leonard 1 AST)")</f>
        <v>Mills 24' 3PT Jump Shot (8 PTS) (Leonard 1 AST)</v>
      </c>
      <c r="L1561" s="2" t="str">
        <f>HYPERLINK("https://www.nba.com/game/...-vs-...-0021401181/play-by-play?watchFullGame=true", "SAS vs HOU - Q3 00:39.10")</f>
        <v>SAS vs HOU - Q3 00:39.10</v>
      </c>
      <c r="M1561">
        <v>24</v>
      </c>
      <c r="N1561">
        <v>-144</v>
      </c>
      <c r="O1561">
        <v>195</v>
      </c>
      <c r="P1561">
        <v>-144</v>
      </c>
      <c r="Q1561">
        <v>195</v>
      </c>
      <c r="R1561" t="s">
        <v>0</v>
      </c>
      <c r="S1561" t="s">
        <v>0</v>
      </c>
      <c r="T1561" t="s">
        <v>0</v>
      </c>
    </row>
    <row r="1562" spans="1:20" x14ac:dyDescent="0.25">
      <c r="A1562">
        <v>21500172</v>
      </c>
      <c r="B1562" t="s">
        <v>10</v>
      </c>
      <c r="C1562" t="s">
        <v>9</v>
      </c>
      <c r="D1562">
        <v>107</v>
      </c>
      <c r="E1562">
        <v>93</v>
      </c>
      <c r="F1562">
        <v>14</v>
      </c>
      <c r="G1562">
        <v>4</v>
      </c>
      <c r="H1562" s="1">
        <v>2.638888888888889E-3</v>
      </c>
      <c r="I1562">
        <v>2015</v>
      </c>
      <c r="J1562" t="s">
        <v>7</v>
      </c>
      <c r="K1562" s="2" t="str">
        <f>HYPERLINK("https://www.nba.com/stats/events?CFID=&amp;CFPARAMS=&amp;GameEventID=471&amp;GameID=0021500172&amp;Season=2015-16&amp;flag=1&amp;title=Green%2026'%203PT%20Jump%20Shot%20(8%20PTS)%20(Leonard%203%20AST)", "Green 26' 3PT Jump Shot (8 PTS) (Leonard 3 AST)")</f>
        <v>Green 26' 3PT Jump Shot (8 PTS) (Leonard 3 AST)</v>
      </c>
      <c r="L1562" s="2" t="str">
        <f>HYPERLINK("https://www.nba.com/game/...-vs-...-0021500172/play-by-play?watchFullGame=true", "SAS vs DEN - Q4 03:48.00")</f>
        <v>SAS vs DEN - Q4 03:48.00</v>
      </c>
      <c r="M1562">
        <v>26</v>
      </c>
      <c r="N1562">
        <v>-217</v>
      </c>
      <c r="O1562">
        <v>134</v>
      </c>
      <c r="P1562">
        <v>-217</v>
      </c>
      <c r="Q1562">
        <v>134</v>
      </c>
      <c r="R1562" t="s">
        <v>0</v>
      </c>
      <c r="S1562" t="s">
        <v>0</v>
      </c>
      <c r="T1562" t="s">
        <v>0</v>
      </c>
    </row>
    <row r="1563" spans="1:20" x14ac:dyDescent="0.25">
      <c r="A1563">
        <v>21500242</v>
      </c>
      <c r="B1563" t="s">
        <v>4</v>
      </c>
      <c r="C1563" t="s">
        <v>9</v>
      </c>
      <c r="D1563">
        <v>63</v>
      </c>
      <c r="E1563">
        <v>43</v>
      </c>
      <c r="F1563">
        <v>20</v>
      </c>
      <c r="G1563">
        <v>3</v>
      </c>
      <c r="H1563" s="1">
        <v>6.1111111111111114E-3</v>
      </c>
      <c r="I1563">
        <v>2015</v>
      </c>
      <c r="J1563" t="s">
        <v>7</v>
      </c>
      <c r="K1563" s="2" t="str">
        <f>HYPERLINK("https://www.nba.com/stats/events?CFID=&amp;CFPARAMS=&amp;GameEventID=301&amp;GameID=0021500242&amp;Season=2015-16&amp;flag=1&amp;title=Parker%209'%20Jump%20Shot%20(6%20PTS)%20(Leonard%201%20AST)", "Parker 9' Jump Shot (6 PTS) (Leonard 1 AST)")</f>
        <v>Parker 9' Jump Shot (6 PTS) (Leonard 1 AST)</v>
      </c>
      <c r="L1563" s="2" t="str">
        <f>HYPERLINK("https://www.nba.com/game/...-vs-...-0021500242/play-by-play?watchFullGame=true", "SAS vs ATL - Q3 08:48.00")</f>
        <v>SAS vs ATL - Q3 08:48.00</v>
      </c>
      <c r="M1563">
        <v>9</v>
      </c>
      <c r="N1563">
        <v>-12</v>
      </c>
      <c r="O1563">
        <v>85</v>
      </c>
      <c r="P1563">
        <v>-12</v>
      </c>
      <c r="Q1563">
        <v>85</v>
      </c>
      <c r="R1563" t="s">
        <v>0</v>
      </c>
      <c r="S1563" t="s">
        <v>0</v>
      </c>
      <c r="T1563" t="s">
        <v>0</v>
      </c>
    </row>
    <row r="1564" spans="1:20" x14ac:dyDescent="0.25">
      <c r="A1564">
        <v>21500257</v>
      </c>
      <c r="B1564" t="s">
        <v>4</v>
      </c>
      <c r="C1564" t="s">
        <v>9</v>
      </c>
      <c r="D1564">
        <v>73</v>
      </c>
      <c r="E1564">
        <v>70</v>
      </c>
      <c r="F1564">
        <v>3</v>
      </c>
      <c r="G1564">
        <v>3</v>
      </c>
      <c r="H1564" s="1">
        <v>6.8287037037037044E-5</v>
      </c>
      <c r="I1564">
        <v>2015</v>
      </c>
      <c r="J1564" t="s">
        <v>7</v>
      </c>
      <c r="K1564" s="2" t="str">
        <f>HYPERLINK("https://www.nba.com/stats/events?CFID=&amp;CFPARAMS=&amp;GameEventID=362&amp;GameID=0021500257&amp;Season=2015-16&amp;flag=1&amp;title=Mills%2020'%20Jump%20Shot%20(2%20PTS)%20(Leonard%203%20AST)", "Mills 20' Jump Shot (2 PTS) (Leonard 3 AST)")</f>
        <v>Mills 20' Jump Shot (2 PTS) (Leonard 3 AST)</v>
      </c>
      <c r="L1564" s="2" t="str">
        <f>HYPERLINK("https://www.nba.com/game/...-vs-...-0021500257/play-by-play?watchFullGame=true", "SAS vs CHI - Q3 00:05.90")</f>
        <v>SAS vs CHI - Q3 00:05.90</v>
      </c>
      <c r="M1564">
        <v>20</v>
      </c>
      <c r="N1564">
        <v>155</v>
      </c>
      <c r="O1564">
        <v>131</v>
      </c>
      <c r="P1564">
        <v>155</v>
      </c>
      <c r="Q1564">
        <v>131</v>
      </c>
      <c r="R1564" t="s">
        <v>0</v>
      </c>
      <c r="S1564" t="s">
        <v>0</v>
      </c>
      <c r="T1564" t="s">
        <v>0</v>
      </c>
    </row>
    <row r="1565" spans="1:20" x14ac:dyDescent="0.25">
      <c r="A1565">
        <v>21500275</v>
      </c>
      <c r="B1565" t="s">
        <v>10</v>
      </c>
      <c r="C1565" t="s">
        <v>9</v>
      </c>
      <c r="D1565">
        <v>48</v>
      </c>
      <c r="E1565">
        <v>36</v>
      </c>
      <c r="F1565">
        <v>12</v>
      </c>
      <c r="G1565">
        <v>2</v>
      </c>
      <c r="H1565" s="1">
        <v>1.1805555555555556E-3</v>
      </c>
      <c r="I1565">
        <v>2015</v>
      </c>
      <c r="J1565" t="s">
        <v>7</v>
      </c>
      <c r="K1565" s="2" t="str">
        <f>HYPERLINK("https://www.nba.com/stats/events?CFID=&amp;CFPARAMS=&amp;GameEventID=257&amp;GameID=0021500275&amp;Season=2015-16&amp;flag=1&amp;title=Mills%20%203PT%20Jump%20Shot%20(5%20PTS)%20(Leonard%202%20AST)", "Mills  3PT Jump Shot (5 PTS) (Leonard 2 AST)")</f>
        <v>Mills  3PT Jump Shot (5 PTS) (Leonard 2 AST)</v>
      </c>
      <c r="L1565" s="2" t="str">
        <f>HYPERLINK("https://www.nba.com/game/...-vs-...-0021500275/play-by-play?watchFullGame=true", "SAS vs MIL - Q2 01:42.00")</f>
        <v>SAS vs MIL - Q2 01:42.00</v>
      </c>
      <c r="M1565">
        <v>0</v>
      </c>
      <c r="N1565">
        <v>-233</v>
      </c>
      <c r="O1565">
        <v>21</v>
      </c>
      <c r="P1565">
        <v>-233</v>
      </c>
      <c r="Q1565">
        <v>21</v>
      </c>
      <c r="R1565" t="s">
        <v>0</v>
      </c>
      <c r="S1565" t="s">
        <v>0</v>
      </c>
      <c r="T1565" t="s">
        <v>0</v>
      </c>
    </row>
    <row r="1566" spans="1:20" x14ac:dyDescent="0.25">
      <c r="A1566">
        <v>21500313</v>
      </c>
      <c r="B1566" t="s">
        <v>4</v>
      </c>
      <c r="C1566" t="s">
        <v>17</v>
      </c>
      <c r="D1566">
        <v>21</v>
      </c>
      <c r="E1566">
        <v>9</v>
      </c>
      <c r="F1566">
        <v>12</v>
      </c>
      <c r="G1566">
        <v>1</v>
      </c>
      <c r="H1566" s="1">
        <v>2.7546296296296294E-3</v>
      </c>
      <c r="I1566">
        <v>2015</v>
      </c>
      <c r="J1566" t="s">
        <v>12</v>
      </c>
      <c r="K1566" s="2" t="str">
        <f>HYPERLINK("https://www.nba.com/stats/events?CFID=&amp;CFPARAMS=&amp;GameEventID=61&amp;GameID=0021500313&amp;Season=2015-16&amp;flag=1&amp;title=Lillard%2017'%20Floating%20Jump%20Shot%20(12%20PTS)%20(Leonard%201%20AST)", "Lillard 17' Floating Jump Shot (12 PTS) (Leonard 1 AST)")</f>
        <v>Lillard 17' Floating Jump Shot (12 PTS) (Leonard 1 AST)</v>
      </c>
      <c r="L1566" s="2" t="str">
        <f>HYPERLINK("https://www.nba.com/game/...-vs-...-0021500313/play-by-play?watchFullGame=true", "POR vs CLE - Q1 03:58.00")</f>
        <v>POR vs CLE - Q1 03:58.00</v>
      </c>
      <c r="M1566">
        <v>17</v>
      </c>
      <c r="N1566">
        <v>-109</v>
      </c>
      <c r="O1566">
        <v>134</v>
      </c>
      <c r="P1566">
        <v>-109</v>
      </c>
      <c r="Q1566">
        <v>134</v>
      </c>
      <c r="R1566" t="s">
        <v>0</v>
      </c>
      <c r="S1566" t="s">
        <v>0</v>
      </c>
      <c r="T1566" t="s">
        <v>0</v>
      </c>
    </row>
    <row r="1567" spans="1:20" x14ac:dyDescent="0.25">
      <c r="A1567">
        <v>21301221</v>
      </c>
      <c r="B1567" t="s">
        <v>4</v>
      </c>
      <c r="C1567" t="s">
        <v>5</v>
      </c>
      <c r="D1567">
        <v>39</v>
      </c>
      <c r="E1567">
        <v>42</v>
      </c>
      <c r="F1567">
        <v>3</v>
      </c>
      <c r="G1567">
        <v>2</v>
      </c>
      <c r="H1567" s="1">
        <v>4.4907407407407405E-3</v>
      </c>
      <c r="I1567">
        <v>2013</v>
      </c>
      <c r="J1567" t="s">
        <v>7</v>
      </c>
      <c r="K1567" s="2" t="str">
        <f>HYPERLINK("https://www.nba.com/stats/events?CFID=&amp;CFPARAMS=&amp;GameEventID=172&amp;GameID=0021301221&amp;Season=2013-14&amp;flag=1&amp;title=Mills%201'%20Layup%20(7%20PTS)%20(Leonard%203%20AST)", "Mills 1' Layup (7 PTS) (Leonard 3 AST)")</f>
        <v>Mills 1' Layup (7 PTS) (Leonard 3 AST)</v>
      </c>
      <c r="L1567" s="2" t="str">
        <f>HYPERLINK("https://www.nba.com/game/...-vs-...-0021301221/play-by-play?watchFullGame=true", "SAS vs LAL - Q2 06:28.00")</f>
        <v>SAS vs LAL - Q2 06:28.00</v>
      </c>
      <c r="M1567">
        <v>1</v>
      </c>
      <c r="N1567">
        <v>12</v>
      </c>
      <c r="O1567">
        <v>-3</v>
      </c>
      <c r="P1567">
        <v>12</v>
      </c>
      <c r="Q1567">
        <v>-3</v>
      </c>
      <c r="R1567" t="s">
        <v>0</v>
      </c>
      <c r="S1567" t="s">
        <v>0</v>
      </c>
      <c r="T1567" t="s">
        <v>0</v>
      </c>
    </row>
    <row r="1568" spans="1:20" x14ac:dyDescent="0.25">
      <c r="A1568">
        <v>21400089</v>
      </c>
      <c r="B1568" t="s">
        <v>4</v>
      </c>
      <c r="C1568" t="s">
        <v>5</v>
      </c>
      <c r="D1568">
        <v>60</v>
      </c>
      <c r="E1568">
        <v>60</v>
      </c>
      <c r="F1568">
        <v>0</v>
      </c>
      <c r="G1568">
        <v>3</v>
      </c>
      <c r="H1568" s="1">
        <v>5.9606481481481481E-3</v>
      </c>
      <c r="I1568">
        <v>2014</v>
      </c>
      <c r="J1568" t="s">
        <v>7</v>
      </c>
      <c r="K1568" s="2" t="str">
        <f>HYPERLINK("https://www.nba.com/stats/events?CFID=&amp;CFPARAMS=&amp;GameEventID=281&amp;GameID=0021400089&amp;Season=2014-15&amp;flag=1&amp;title=Diaw%202'%20Layup%20(2%20PTS)%20(Leonard%202%20AST)", "Diaw 2' Layup (2 PTS) (Leonard 2 AST)")</f>
        <v>Diaw 2' Layup (2 PTS) (Leonard 2 AST)</v>
      </c>
      <c r="L1568" s="2" t="str">
        <f>HYPERLINK("https://www.nba.com/game/...-vs-...-0021400089/play-by-play?watchFullGame=true", "SAS vs NOP - Q3 08:35.00")</f>
        <v>SAS vs NOP - Q3 08:35.00</v>
      </c>
      <c r="M1568">
        <v>2</v>
      </c>
      <c r="N1568">
        <v>21</v>
      </c>
      <c r="O1568">
        <v>0</v>
      </c>
      <c r="P1568">
        <v>21</v>
      </c>
      <c r="Q1568">
        <v>0</v>
      </c>
      <c r="R1568" t="s">
        <v>0</v>
      </c>
      <c r="S1568" t="s">
        <v>0</v>
      </c>
      <c r="T1568" t="s">
        <v>0</v>
      </c>
    </row>
    <row r="1569" spans="1:20" x14ac:dyDescent="0.25">
      <c r="A1569">
        <v>21400867</v>
      </c>
      <c r="B1569" t="s">
        <v>10</v>
      </c>
      <c r="C1569" t="s">
        <v>9</v>
      </c>
      <c r="D1569">
        <v>6</v>
      </c>
      <c r="E1569">
        <v>4</v>
      </c>
      <c r="F1569">
        <v>2</v>
      </c>
      <c r="G1569">
        <v>1</v>
      </c>
      <c r="H1569" s="1">
        <v>7.1296296296296299E-3</v>
      </c>
      <c r="I1569">
        <v>2014</v>
      </c>
      <c r="J1569" t="s">
        <v>7</v>
      </c>
      <c r="K1569" s="2" t="str">
        <f>HYPERLINK("https://www.nba.com/stats/events?CFID=&amp;CFPARAMS=&amp;GameEventID=12&amp;GameID=0021400867&amp;Season=2014-15&amp;flag=1&amp;title=Green%2024'%203PT%20Jump%20Shot%20(3%20PTS)%20(Leonard%201%20AST)", "Green 24' 3PT Jump Shot (3 PTS) (Leonard 1 AST)")</f>
        <v>Green 24' 3PT Jump Shot (3 PTS) (Leonard 1 AST)</v>
      </c>
      <c r="L1569" s="2" t="str">
        <f>HYPERLINK("https://www.nba.com/game/...-vs-...-0021400867/play-by-play?watchFullGame=true", "SAS vs SAC - Q1 10:16.00")</f>
        <v>SAS vs SAC - Q1 10:16.00</v>
      </c>
      <c r="M1569">
        <v>24</v>
      </c>
      <c r="N1569">
        <v>-228</v>
      </c>
      <c r="O1569">
        <v>83</v>
      </c>
      <c r="P1569">
        <v>-228</v>
      </c>
      <c r="Q1569">
        <v>83</v>
      </c>
      <c r="R1569" t="s">
        <v>0</v>
      </c>
      <c r="S1569" t="s">
        <v>0</v>
      </c>
      <c r="T1569" t="s">
        <v>0</v>
      </c>
    </row>
    <row r="1570" spans="1:20" x14ac:dyDescent="0.25">
      <c r="A1570">
        <v>21400964</v>
      </c>
      <c r="B1570" t="s">
        <v>4</v>
      </c>
      <c r="C1570" t="s">
        <v>41</v>
      </c>
      <c r="D1570">
        <v>107</v>
      </c>
      <c r="E1570">
        <v>99</v>
      </c>
      <c r="F1570">
        <v>8</v>
      </c>
      <c r="G1570">
        <v>4</v>
      </c>
      <c r="H1570" s="1">
        <v>1.3888888888888889E-3</v>
      </c>
      <c r="I1570">
        <v>2014</v>
      </c>
      <c r="J1570" t="s">
        <v>7</v>
      </c>
      <c r="K1570" s="2" t="str">
        <f>HYPERLINK("https://www.nba.com/stats/events?CFID=&amp;CFPARAMS=&amp;GameEventID=467&amp;GameID=0021400964&amp;Season=2014-15&amp;flag=1&amp;title=Duncan%2011'%20Turnaround%20Jump%20Shot%20(18%20PTS)%20(Leonard%206%20AST)", "Duncan 11' Turnaround Jump Shot (18 PTS) (Leonard 6 AST)")</f>
        <v>Duncan 11' Turnaround Jump Shot (18 PTS) (Leonard 6 AST)</v>
      </c>
      <c r="L1570" s="2" t="str">
        <f>HYPERLINK("https://www.nba.com/game/...-vs-...-0021400964/play-by-play?watchFullGame=true", "SAS vs CLE - Q4 02:00.00")</f>
        <v>SAS vs CLE - Q4 02:00.00</v>
      </c>
      <c r="M1570">
        <v>11</v>
      </c>
      <c r="N1570">
        <v>-109</v>
      </c>
      <c r="O1570">
        <v>0</v>
      </c>
      <c r="P1570">
        <v>-109</v>
      </c>
      <c r="Q1570">
        <v>0</v>
      </c>
      <c r="R1570" t="s">
        <v>0</v>
      </c>
      <c r="S1570" t="s">
        <v>0</v>
      </c>
      <c r="T1570" t="s">
        <v>0</v>
      </c>
    </row>
    <row r="1571" spans="1:20" x14ac:dyDescent="0.25">
      <c r="A1571">
        <v>21401001</v>
      </c>
      <c r="B1571" t="s">
        <v>4</v>
      </c>
      <c r="C1571" t="s">
        <v>5</v>
      </c>
      <c r="D1571">
        <v>66</v>
      </c>
      <c r="E1571">
        <v>61</v>
      </c>
      <c r="F1571">
        <v>5</v>
      </c>
      <c r="G1571">
        <v>3</v>
      </c>
      <c r="H1571" s="1">
        <v>3.1597222222222222E-3</v>
      </c>
      <c r="I1571">
        <v>2014</v>
      </c>
      <c r="J1571" t="s">
        <v>7</v>
      </c>
      <c r="K1571" s="2" t="str">
        <f>HYPERLINK("https://www.nba.com/stats/events?CFID=&amp;CFPARAMS=&amp;GameEventID=347&amp;GameID=0021401001&amp;Season=2014-15&amp;flag=1&amp;title=Diaw%202'%20Layup%20(6%20PTS)%20(Leonard%201%20AST)", "Diaw 2' Layup (6 PTS) (Leonard 1 AST)")</f>
        <v>Diaw 2' Layup (6 PTS) (Leonard 1 AST)</v>
      </c>
      <c r="L1571" s="2" t="str">
        <f>HYPERLINK("https://www.nba.com/game/...-vs-...-0021401001/play-by-play?watchFullGame=true", "SAS vs NYK - Q3 04:33.00")</f>
        <v>SAS vs NYK - Q3 04:33.00</v>
      </c>
      <c r="M1571">
        <v>2</v>
      </c>
      <c r="N1571">
        <v>3</v>
      </c>
      <c r="O1571">
        <v>22</v>
      </c>
      <c r="P1571">
        <v>3</v>
      </c>
      <c r="Q1571">
        <v>22</v>
      </c>
      <c r="R1571" t="s">
        <v>0</v>
      </c>
      <c r="S1571" t="s">
        <v>0</v>
      </c>
      <c r="T1571" t="s">
        <v>0</v>
      </c>
    </row>
    <row r="1572" spans="1:20" x14ac:dyDescent="0.25">
      <c r="A1572">
        <v>21401157</v>
      </c>
      <c r="B1572" t="s">
        <v>4</v>
      </c>
      <c r="C1572" t="s">
        <v>26</v>
      </c>
      <c r="D1572">
        <v>56</v>
      </c>
      <c r="E1572">
        <v>35</v>
      </c>
      <c r="F1572">
        <v>21</v>
      </c>
      <c r="G1572">
        <v>2</v>
      </c>
      <c r="H1572" s="1">
        <v>1.6666666666666668E-3</v>
      </c>
      <c r="I1572">
        <v>2014</v>
      </c>
      <c r="J1572" t="s">
        <v>7</v>
      </c>
      <c r="K1572" s="2" t="str">
        <f>HYPERLINK("https://www.nba.com/stats/events?CFID=&amp;CFPARAMS=&amp;GameEventID=235&amp;GameID=0021401157&amp;Season=2014-15&amp;flag=1&amp;title=Duncan%201'%20Reverse%20Layup%20(6%20PTS)%20(Leonard%202%20AST)", "Duncan 1' Reverse Layup (6 PTS) (Leonard 2 AST)")</f>
        <v>Duncan 1' Reverse Layup (6 PTS) (Leonard 2 AST)</v>
      </c>
      <c r="L1572" s="2" t="str">
        <f>HYPERLINK("https://www.nba.com/game/...-vs-...-0021401157/play-by-play?watchFullGame=true", "SAS vs OKC - Q2 02:24.00")</f>
        <v>SAS vs OKC - Q2 02:24.00</v>
      </c>
      <c r="M1572">
        <v>1</v>
      </c>
      <c r="N1572">
        <v>10</v>
      </c>
      <c r="O1572">
        <v>-3</v>
      </c>
      <c r="P1572">
        <v>10</v>
      </c>
      <c r="Q1572">
        <v>-3</v>
      </c>
      <c r="R1572" t="s">
        <v>0</v>
      </c>
      <c r="S1572" t="s">
        <v>0</v>
      </c>
      <c r="T1572" t="s">
        <v>0</v>
      </c>
    </row>
    <row r="1573" spans="1:20" x14ac:dyDescent="0.25">
      <c r="A1573">
        <v>21500090</v>
      </c>
      <c r="B1573" t="s">
        <v>10</v>
      </c>
      <c r="C1573" t="s">
        <v>9</v>
      </c>
      <c r="D1573">
        <v>80</v>
      </c>
      <c r="E1573">
        <v>73</v>
      </c>
      <c r="F1573">
        <v>7</v>
      </c>
      <c r="G1573">
        <v>3</v>
      </c>
      <c r="H1573" s="1">
        <v>1.7592592592592592E-3</v>
      </c>
      <c r="I1573">
        <v>2015</v>
      </c>
      <c r="J1573" t="s">
        <v>7</v>
      </c>
      <c r="K1573" s="2" t="str">
        <f>HYPERLINK("https://www.nba.com/stats/events?CFID=&amp;CFPARAMS=&amp;GameEventID=339&amp;GameID=0021500090&amp;Season=2015-16&amp;flag=1&amp;title=Ginobili%2025'%203PT%20Jump%20Shot%20(10%20PTS)%20(Leonard%202%20AST)", "Ginobili 25' 3PT Jump Shot (10 PTS) (Leonard 2 AST)")</f>
        <v>Ginobili 25' 3PT Jump Shot (10 PTS) (Leonard 2 AST)</v>
      </c>
      <c r="L1573" s="2" t="str">
        <f>HYPERLINK("https://www.nba.com/game/...-vs-...-0021500090/play-by-play?watchFullGame=true", "SAS vs CHA - Q3 02:32.00")</f>
        <v>SAS vs CHA - Q3 02:32.00</v>
      </c>
      <c r="M1573">
        <v>25</v>
      </c>
      <c r="N1573">
        <v>195</v>
      </c>
      <c r="O1573">
        <v>154</v>
      </c>
      <c r="P1573">
        <v>195</v>
      </c>
      <c r="Q1573">
        <v>154</v>
      </c>
      <c r="R1573" t="s">
        <v>0</v>
      </c>
      <c r="S1573" t="s">
        <v>0</v>
      </c>
      <c r="T1573" t="s">
        <v>0</v>
      </c>
    </row>
    <row r="1574" spans="1:20" x14ac:dyDescent="0.25">
      <c r="A1574">
        <v>21500123</v>
      </c>
      <c r="B1574" t="s">
        <v>4</v>
      </c>
      <c r="C1574" t="s">
        <v>17</v>
      </c>
      <c r="D1574">
        <v>45</v>
      </c>
      <c r="E1574">
        <v>37</v>
      </c>
      <c r="F1574">
        <v>8</v>
      </c>
      <c r="G1574">
        <v>2</v>
      </c>
      <c r="H1574" s="1">
        <v>3.0439814814814813E-3</v>
      </c>
      <c r="I1574">
        <v>2015</v>
      </c>
      <c r="J1574" t="s">
        <v>7</v>
      </c>
      <c r="K1574" s="2" t="str">
        <f>HYPERLINK("https://www.nba.com/stats/events?CFID=&amp;CFPARAMS=&amp;GameEventID=178&amp;GameID=0021500123&amp;Season=2015-16&amp;flag=1&amp;title=Duncan%2015'%20Floating%20Jump%20Shot%20(4%20PTS)%20(Leonard%202%20AST)", "Duncan 15' Floating Jump Shot (4 PTS) (Leonard 2 AST)")</f>
        <v>Duncan 15' Floating Jump Shot (4 PTS) (Leonard 2 AST)</v>
      </c>
      <c r="L1574" s="2" t="str">
        <f>HYPERLINK("https://www.nba.com/game/...-vs-...-0021500123/play-by-play?watchFullGame=true", "SAS vs POR - Q2 04:23.00")</f>
        <v>SAS vs POR - Q2 04:23.00</v>
      </c>
      <c r="M1574">
        <v>15</v>
      </c>
      <c r="N1574">
        <v>19</v>
      </c>
      <c r="O1574">
        <v>144</v>
      </c>
      <c r="P1574">
        <v>19</v>
      </c>
      <c r="Q1574">
        <v>144</v>
      </c>
      <c r="R1574" t="s">
        <v>0</v>
      </c>
      <c r="S1574" t="s">
        <v>0</v>
      </c>
      <c r="T1574" t="s">
        <v>0</v>
      </c>
    </row>
    <row r="1575" spans="1:20" x14ac:dyDescent="0.25">
      <c r="A1575">
        <v>21500207</v>
      </c>
      <c r="B1575" t="s">
        <v>4</v>
      </c>
      <c r="C1575" t="s">
        <v>24</v>
      </c>
      <c r="D1575">
        <v>14</v>
      </c>
      <c r="E1575">
        <v>13</v>
      </c>
      <c r="F1575">
        <v>1</v>
      </c>
      <c r="G1575">
        <v>1</v>
      </c>
      <c r="H1575" s="1">
        <v>3.3912037037037036E-3</v>
      </c>
      <c r="I1575">
        <v>2015</v>
      </c>
      <c r="J1575" t="s">
        <v>7</v>
      </c>
      <c r="K1575" s="2" t="str">
        <f>HYPERLINK("https://www.nba.com/stats/events?CFID=&amp;CFPARAMS=&amp;GameEventID=61&amp;GameID=0021500207&amp;Season=2015-16&amp;flag=1&amp;title=Duncan%201'%20Cutting%20Finger%20Roll%20Layup%20Shot%20(2%20PTS)%20(Leonard%202%20AST)", "Duncan 1' Cutting Finger Roll Layup Shot (2 PTS) (Leonard 2 AST)")</f>
        <v>Duncan 1' Cutting Finger Roll Layup Shot (2 PTS) (Leonard 2 AST)</v>
      </c>
      <c r="L1575" s="2" t="str">
        <f>HYPERLINK("https://www.nba.com/game/...-vs-...-0021500207/play-by-play?watchFullGame=true", "SAS vs PHX - Q1 04:53.00")</f>
        <v>SAS vs PHX - Q1 04:53.00</v>
      </c>
      <c r="M1575">
        <v>1</v>
      </c>
      <c r="N1575">
        <v>9</v>
      </c>
      <c r="O1575">
        <v>-6</v>
      </c>
      <c r="P1575">
        <v>9</v>
      </c>
      <c r="Q1575">
        <v>-6</v>
      </c>
      <c r="R1575" t="s">
        <v>0</v>
      </c>
      <c r="S1575" t="s">
        <v>0</v>
      </c>
      <c r="T1575" t="s">
        <v>0</v>
      </c>
    </row>
    <row r="1576" spans="1:20" x14ac:dyDescent="0.25">
      <c r="A1576">
        <v>21500235</v>
      </c>
      <c r="B1576" t="s">
        <v>10</v>
      </c>
      <c r="C1576" t="s">
        <v>9</v>
      </c>
      <c r="D1576">
        <v>44</v>
      </c>
      <c r="E1576">
        <v>42</v>
      </c>
      <c r="F1576">
        <v>2</v>
      </c>
      <c r="G1576">
        <v>2</v>
      </c>
      <c r="H1576" s="1">
        <v>4.1550925925925924E-4</v>
      </c>
      <c r="I1576">
        <v>2015</v>
      </c>
      <c r="J1576" t="s">
        <v>7</v>
      </c>
      <c r="K1576" s="2" t="str">
        <f>HYPERLINK("https://www.nba.com/stats/events?CFID=&amp;CFPARAMS=&amp;GameEventID=233&amp;GameID=0021500235&amp;Season=2015-16&amp;flag=1&amp;title=Parker%2024'%203PT%20Jump%20Shot%20(9%20PTS)%20(Leonard%203%20AST)", "Parker 24' 3PT Jump Shot (9 PTS) (Leonard 3 AST)")</f>
        <v>Parker 24' 3PT Jump Shot (9 PTS) (Leonard 3 AST)</v>
      </c>
      <c r="L1576" s="2" t="str">
        <f>HYPERLINK("https://www.nba.com/game/...-vs-...-0021500235/play-by-play?watchFullGame=true", "SAS vs DEN - Q2 00:35.90")</f>
        <v>SAS vs DEN - Q2 00:35.90</v>
      </c>
      <c r="M1576">
        <v>24</v>
      </c>
      <c r="N1576">
        <v>2</v>
      </c>
      <c r="O1576">
        <v>242</v>
      </c>
      <c r="P1576">
        <v>2</v>
      </c>
      <c r="Q1576">
        <v>242</v>
      </c>
      <c r="R1576" t="s">
        <v>0</v>
      </c>
      <c r="S1576" t="s">
        <v>0</v>
      </c>
      <c r="T1576" t="s">
        <v>0</v>
      </c>
    </row>
    <row r="1577" spans="1:20" x14ac:dyDescent="0.25">
      <c r="A1577">
        <v>21500275</v>
      </c>
      <c r="B1577" t="s">
        <v>4</v>
      </c>
      <c r="C1577" t="s">
        <v>9</v>
      </c>
      <c r="D1577">
        <v>21</v>
      </c>
      <c r="E1577">
        <v>15</v>
      </c>
      <c r="F1577">
        <v>6</v>
      </c>
      <c r="G1577">
        <v>1</v>
      </c>
      <c r="H1577" s="1">
        <v>2.7314814814814814E-3</v>
      </c>
      <c r="I1577">
        <v>2015</v>
      </c>
      <c r="J1577" t="s">
        <v>7</v>
      </c>
      <c r="K1577" s="2" t="str">
        <f>HYPERLINK("https://www.nba.com/stats/events?CFID=&amp;CFPARAMS=&amp;GameEventID=93&amp;GameID=0021500275&amp;Season=2015-16&amp;flag=1&amp;title=Diaw%2019'%20Jump%20Shot%20(2%20PTS)%20(Leonard%201%20AST)", "Diaw 19' Jump Shot (2 PTS) (Leonard 1 AST)")</f>
        <v>Diaw 19' Jump Shot (2 PTS) (Leonard 1 AST)</v>
      </c>
      <c r="L1577" s="2" t="str">
        <f>HYPERLINK("https://www.nba.com/game/...-vs-...-0021500275/play-by-play?watchFullGame=true", "SAS vs MIL - Q1 03:56.00")</f>
        <v>SAS vs MIL - Q1 03:56.00</v>
      </c>
      <c r="M1577">
        <v>19</v>
      </c>
      <c r="N1577">
        <v>169</v>
      </c>
      <c r="O1577">
        <v>77</v>
      </c>
      <c r="P1577">
        <v>169</v>
      </c>
      <c r="Q1577">
        <v>77</v>
      </c>
      <c r="R1577" t="s">
        <v>0</v>
      </c>
      <c r="S1577" t="s">
        <v>0</v>
      </c>
      <c r="T1577" t="s">
        <v>0</v>
      </c>
    </row>
    <row r="1578" spans="1:20" x14ac:dyDescent="0.25">
      <c r="A1578">
        <v>21500296</v>
      </c>
      <c r="B1578" t="s">
        <v>4</v>
      </c>
      <c r="C1578" t="s">
        <v>5</v>
      </c>
      <c r="D1578">
        <v>28</v>
      </c>
      <c r="E1578">
        <v>25</v>
      </c>
      <c r="F1578">
        <v>3</v>
      </c>
      <c r="G1578">
        <v>1</v>
      </c>
      <c r="H1578" s="1">
        <v>4.814814814814815E-4</v>
      </c>
      <c r="I1578">
        <v>2015</v>
      </c>
      <c r="J1578" t="s">
        <v>7</v>
      </c>
      <c r="K1578" s="2" t="str">
        <f>HYPERLINK("https://www.nba.com/stats/events?CFID=&amp;CFPARAMS=&amp;GameEventID=97&amp;GameID=0021500296&amp;Season=2015-16&amp;flag=1&amp;title=West%202'%20Layup%20(7%20PTS)%20(Leonard%202%20AST)", "West 2' Layup (7 PTS) (Leonard 2 AST)")</f>
        <v>West 2' Layup (7 PTS) (Leonard 2 AST)</v>
      </c>
      <c r="L1578" s="2" t="str">
        <f>HYPERLINK("https://www.nba.com/game/...-vs-...-0021500296/play-by-play?watchFullGame=true", "SAS vs BOS - Q1 00:41.60")</f>
        <v>SAS vs BOS - Q1 00:41.60</v>
      </c>
      <c r="M1578">
        <v>2</v>
      </c>
      <c r="N1578">
        <v>19</v>
      </c>
      <c r="O1578">
        <v>16</v>
      </c>
      <c r="P1578">
        <v>19</v>
      </c>
      <c r="Q1578">
        <v>16</v>
      </c>
      <c r="R1578" t="s">
        <v>0</v>
      </c>
      <c r="S1578" t="s">
        <v>0</v>
      </c>
      <c r="T1578" t="s">
        <v>0</v>
      </c>
    </row>
    <row r="1579" spans="1:20" x14ac:dyDescent="0.25">
      <c r="A1579">
        <v>21500310</v>
      </c>
      <c r="B1579" t="s">
        <v>10</v>
      </c>
      <c r="C1579" t="s">
        <v>9</v>
      </c>
      <c r="D1579">
        <v>57</v>
      </c>
      <c r="E1579">
        <v>58</v>
      </c>
      <c r="F1579">
        <v>1</v>
      </c>
      <c r="G1579">
        <v>3</v>
      </c>
      <c r="H1579" s="1">
        <v>8.6805555555555551E-4</v>
      </c>
      <c r="I1579">
        <v>2015</v>
      </c>
      <c r="J1579" t="s">
        <v>12</v>
      </c>
      <c r="K1579" s="2" t="str">
        <f>HYPERLINK("https://www.nba.com/stats/events?CFID=&amp;CFPARAMS=&amp;GameEventID=384&amp;GameID=0021500310&amp;Season=2015-16&amp;flag=1&amp;title=Crabbe%20%203PT%20Jump%20Shot%20(9%20PTS)%20(Leonard%201%20AST)", "Crabbe  3PT Jump Shot (9 PTS) (Leonard 1 AST)")</f>
        <v>Crabbe  3PT Jump Shot (9 PTS) (Leonard 1 AST)</v>
      </c>
      <c r="L1579" s="2" t="str">
        <f>HYPERLINK("https://www.nba.com/game/...-vs-...-0021500310/play-by-play?watchFullGame=true", "POR vs MIL - Q3 01:15.00")</f>
        <v>POR vs MIL - Q3 01:15.00</v>
      </c>
      <c r="M1579">
        <v>0</v>
      </c>
      <c r="N1579">
        <v>228</v>
      </c>
      <c r="O1579">
        <v>13</v>
      </c>
      <c r="P1579">
        <v>228</v>
      </c>
      <c r="Q1579">
        <v>13</v>
      </c>
      <c r="R1579" t="s">
        <v>0</v>
      </c>
      <c r="S1579" t="s">
        <v>0</v>
      </c>
      <c r="T1579" t="s">
        <v>0</v>
      </c>
    </row>
    <row r="1580" spans="1:20" x14ac:dyDescent="0.25">
      <c r="A1580">
        <v>21500393</v>
      </c>
      <c r="B1580" t="s">
        <v>4</v>
      </c>
      <c r="C1580" t="s">
        <v>14</v>
      </c>
      <c r="D1580">
        <v>8</v>
      </c>
      <c r="E1580">
        <v>11</v>
      </c>
      <c r="F1580">
        <v>3</v>
      </c>
      <c r="G1580">
        <v>1</v>
      </c>
      <c r="H1580" s="1">
        <v>5.1504629629629626E-3</v>
      </c>
      <c r="I1580">
        <v>2015</v>
      </c>
      <c r="J1580" t="s">
        <v>7</v>
      </c>
      <c r="K1580" s="2" t="str">
        <f>HYPERLINK("https://www.nba.com/stats/events?CFID=&amp;CFPARAMS=&amp;GameEventID=31&amp;GameID=0021500393&amp;Season=2015-16&amp;flag=1&amp;title=Aldridge%2015'%20Step%20Back%20Jump%20Shot%20(6%20PTS)%20(Leonard%201%20AST)", "Aldridge 15' Step Back Jump Shot (6 PTS) (Leonard 1 AST)")</f>
        <v>Aldridge 15' Step Back Jump Shot (6 PTS) (Leonard 1 AST)</v>
      </c>
      <c r="L1580" s="2" t="str">
        <f>HYPERLINK("https://www.nba.com/game/...-vs-...-0021500393/play-by-play?watchFullGame=true", "SAS vs LAC - Q1 07:25.00")</f>
        <v>SAS vs LAC - Q1 07:25.00</v>
      </c>
      <c r="M1580">
        <v>15</v>
      </c>
      <c r="N1580">
        <v>150</v>
      </c>
      <c r="O1580">
        <v>-11</v>
      </c>
      <c r="P1580">
        <v>150</v>
      </c>
      <c r="Q1580">
        <v>-11</v>
      </c>
      <c r="R1580" t="s">
        <v>0</v>
      </c>
      <c r="S1580" t="s">
        <v>0</v>
      </c>
      <c r="T1580" t="s">
        <v>0</v>
      </c>
    </row>
    <row r="1581" spans="1:20" x14ac:dyDescent="0.25">
      <c r="A1581">
        <v>21500404</v>
      </c>
      <c r="B1581" t="s">
        <v>4</v>
      </c>
      <c r="C1581" t="s">
        <v>26</v>
      </c>
      <c r="D1581">
        <v>68</v>
      </c>
      <c r="E1581">
        <v>69</v>
      </c>
      <c r="F1581">
        <v>1</v>
      </c>
      <c r="G1581">
        <v>3</v>
      </c>
      <c r="H1581" s="1">
        <v>4.409722222222222E-3</v>
      </c>
      <c r="I1581">
        <v>2015</v>
      </c>
      <c r="J1581" t="s">
        <v>12</v>
      </c>
      <c r="K1581" s="2" t="str">
        <f>HYPERLINK("https://www.nba.com/stats/events?CFID=&amp;CFPARAMS=&amp;GameEventID=306&amp;GameID=0021500404&amp;Season=2015-16&amp;flag=1&amp;title=Plumlee%201'%20Reverse%20Layup%20(6%20PTS)%20(Leonard%201%20AST)", "Plumlee 1' Reverse Layup (6 PTS) (Leonard 1 AST)")</f>
        <v>Plumlee 1' Reverse Layup (6 PTS) (Leonard 1 AST)</v>
      </c>
      <c r="L1581" s="2" t="str">
        <f>HYPERLINK("https://www.nba.com/game/...-vs-...-0021500404/play-by-play?watchFullGame=true", "POR vs MIA - Q3 06:21.00")</f>
        <v>POR vs MIA - Q3 06:21.00</v>
      </c>
      <c r="M1581">
        <v>1</v>
      </c>
      <c r="N1581">
        <v>-12</v>
      </c>
      <c r="O1581">
        <v>-6</v>
      </c>
      <c r="P1581">
        <v>-12</v>
      </c>
      <c r="Q1581">
        <v>-6</v>
      </c>
      <c r="R1581" t="s">
        <v>0</v>
      </c>
      <c r="S1581" t="s">
        <v>0</v>
      </c>
      <c r="T1581" t="s">
        <v>0</v>
      </c>
    </row>
    <row r="1582" spans="1:20" x14ac:dyDescent="0.25">
      <c r="A1582">
        <v>21500457</v>
      </c>
      <c r="B1582" t="s">
        <v>4</v>
      </c>
      <c r="C1582" t="s">
        <v>37</v>
      </c>
      <c r="D1582">
        <v>85</v>
      </c>
      <c r="E1582">
        <v>84</v>
      </c>
      <c r="F1582">
        <v>1</v>
      </c>
      <c r="G1582">
        <v>4</v>
      </c>
      <c r="H1582" s="1">
        <v>6.3541666666666668E-3</v>
      </c>
      <c r="I1582">
        <v>2015</v>
      </c>
      <c r="J1582" t="s">
        <v>12</v>
      </c>
      <c r="K1582" s="2" t="str">
        <f>HYPERLINK("https://www.nba.com/stats/events?CFID=&amp;CFPARAMS=&amp;GameEventID=448&amp;GameID=0021500457&amp;Season=2015-16&amp;flag=1&amp;title=Harkless%20%20Driving%20Dunk%20(13%20PTS)%20(Leonard%202%20AST)", "Harkless  Driving Dunk (13 PTS) (Leonard 2 AST)")</f>
        <v>Harkless  Driving Dunk (13 PTS) (Leonard 2 AST)</v>
      </c>
      <c r="L1582" s="2" t="str">
        <f>HYPERLINK("https://www.nba.com/game/...-vs-...-0021500457/play-by-play?watchFullGame=true", "POR vs SAC - Q4 09:09.00")</f>
        <v>POR vs SAC - Q4 09:09.00</v>
      </c>
      <c r="M1582">
        <v>0</v>
      </c>
      <c r="N1582">
        <v>0</v>
      </c>
      <c r="O1582">
        <v>1</v>
      </c>
      <c r="P1582">
        <v>0</v>
      </c>
      <c r="Q1582">
        <v>1</v>
      </c>
      <c r="R1582" t="s">
        <v>0</v>
      </c>
      <c r="S1582" t="s">
        <v>0</v>
      </c>
      <c r="T1582" t="s">
        <v>0</v>
      </c>
    </row>
    <row r="1583" spans="1:20" x14ac:dyDescent="0.25">
      <c r="A1583">
        <v>21800332</v>
      </c>
      <c r="B1583" t="s">
        <v>4</v>
      </c>
      <c r="C1583" t="s">
        <v>23</v>
      </c>
      <c r="D1583">
        <v>72</v>
      </c>
      <c r="E1583">
        <v>53</v>
      </c>
      <c r="F1583">
        <v>19</v>
      </c>
      <c r="G1583">
        <v>3</v>
      </c>
      <c r="H1583" s="1">
        <v>2.488425925925926E-3</v>
      </c>
      <c r="I1583">
        <v>2018</v>
      </c>
      <c r="J1583" t="s">
        <v>1</v>
      </c>
      <c r="K1583" s="2" t="str">
        <f>HYPERLINK("https://www.nba.com/stats/events?CFID=&amp;CFPARAMS=&amp;GameEventID=414&amp;GameID=0021800332&amp;Season=2018-19&amp;flag=1&amp;title=Siakam%201'%20Driving%20Layup%20(13%20PTS)%20(Leonard%202%20AST)", "Siakam 1' Driving Layup (13 PTS) (Leonard 2 AST)")</f>
        <v>Siakam 1' Driving Layup (13 PTS) (Leonard 2 AST)</v>
      </c>
      <c r="L1583" s="2" t="str">
        <f>HYPERLINK("https://www.nba.com/game/...-vs-...-0021800332/play-by-play?watchFullGame=true", "TOR vs CLE - Q3 03:35.00")</f>
        <v>TOR vs CLE - Q3 03:35.00</v>
      </c>
      <c r="M1583">
        <v>1</v>
      </c>
      <c r="N1583">
        <v>14</v>
      </c>
      <c r="O1583">
        <v>1</v>
      </c>
      <c r="P1583">
        <v>14</v>
      </c>
      <c r="Q1583">
        <v>1</v>
      </c>
      <c r="R1583" t="s">
        <v>0</v>
      </c>
      <c r="S1583" t="s">
        <v>0</v>
      </c>
      <c r="T1583" t="s">
        <v>0</v>
      </c>
    </row>
    <row r="1584" spans="1:20" x14ac:dyDescent="0.25">
      <c r="A1584">
        <v>21800410</v>
      </c>
      <c r="B1584" t="s">
        <v>4</v>
      </c>
      <c r="C1584" t="s">
        <v>29</v>
      </c>
      <c r="D1584">
        <v>22</v>
      </c>
      <c r="E1584">
        <v>13</v>
      </c>
      <c r="F1584">
        <v>9</v>
      </c>
      <c r="G1584">
        <v>1</v>
      </c>
      <c r="H1584" s="1">
        <v>9.837962962962962E-4</v>
      </c>
      <c r="I1584">
        <v>2018</v>
      </c>
      <c r="J1584" t="s">
        <v>12</v>
      </c>
      <c r="K1584" s="2" t="str">
        <f>HYPERLINK("https://www.nba.com/stats/events?CFID=&amp;CFPARAMS=&amp;GameEventID=146&amp;GameID=0021800410&amp;Season=2018-19&amp;flag=1&amp;title=Stauskas%2013'%20Driving%20Floating%20Jump%20Shot%20(2%20PTS)%20(Leonard%201%20AST)", "Stauskas 13' Driving Floating Jump Shot (2 PTS) (Leonard 1 AST)")</f>
        <v>Stauskas 13' Driving Floating Jump Shot (2 PTS) (Leonard 1 AST)</v>
      </c>
      <c r="L1584" s="2" t="str">
        <f>HYPERLINK("https://www.nba.com/game/...-vs-...-0021800410/play-by-play?watchFullGame=true", "POR vs MEM - Q1 01:25.00")</f>
        <v>POR vs MEM - Q1 01:25.00</v>
      </c>
      <c r="M1584">
        <v>13</v>
      </c>
      <c r="N1584">
        <v>61</v>
      </c>
      <c r="O1584">
        <v>119</v>
      </c>
      <c r="P1584">
        <v>61</v>
      </c>
      <c r="Q1584">
        <v>119</v>
      </c>
      <c r="R1584" t="s">
        <v>0</v>
      </c>
      <c r="S1584" t="s">
        <v>0</v>
      </c>
      <c r="T1584" t="s">
        <v>0</v>
      </c>
    </row>
    <row r="1585" spans="1:20" x14ac:dyDescent="0.25">
      <c r="A1585">
        <v>21800427</v>
      </c>
      <c r="B1585" t="s">
        <v>10</v>
      </c>
      <c r="C1585" t="s">
        <v>9</v>
      </c>
      <c r="D1585">
        <v>63</v>
      </c>
      <c r="E1585">
        <v>69</v>
      </c>
      <c r="F1585">
        <v>6</v>
      </c>
      <c r="G1585">
        <v>3</v>
      </c>
      <c r="H1585" s="1">
        <v>5.37037037037037E-3</v>
      </c>
      <c r="I1585">
        <v>2018</v>
      </c>
      <c r="J1585" t="s">
        <v>1</v>
      </c>
      <c r="K1585" s="2" t="str">
        <f>HYPERLINK("https://www.nba.com/stats/events?CFID=&amp;CFPARAMS=&amp;GameEventID=341&amp;GameID=0021800427&amp;Season=2018-19&amp;flag=1&amp;title=Green%203PT%20Jump%20Shot%20(9%20PTS)%20(Leonard%203%20AST)", "Green 3PT Jump Shot (9 PTS) (Leonard 3 AST)")</f>
        <v>Green 3PT Jump Shot (9 PTS) (Leonard 3 AST)</v>
      </c>
      <c r="L1585" s="2" t="str">
        <f>HYPERLINK("https://www.nba.com/game/...-vs-...-0021800427/play-by-play?watchFullGame=true", "TOR vs POR - Q3 07:44.00")</f>
        <v>TOR vs POR - Q3 07:44.00</v>
      </c>
      <c r="M1585">
        <v>0</v>
      </c>
      <c r="N1585">
        <v>226</v>
      </c>
      <c r="O1585">
        <v>21</v>
      </c>
      <c r="P1585">
        <v>226</v>
      </c>
      <c r="Q1585">
        <v>21</v>
      </c>
      <c r="R1585" t="s">
        <v>0</v>
      </c>
      <c r="S1585" t="s">
        <v>0</v>
      </c>
      <c r="T1585" t="s">
        <v>0</v>
      </c>
    </row>
    <row r="1586" spans="1:20" x14ac:dyDescent="0.25">
      <c r="A1586">
        <v>21800442</v>
      </c>
      <c r="B1586" t="s">
        <v>4</v>
      </c>
      <c r="C1586" t="s">
        <v>6</v>
      </c>
      <c r="D1586">
        <v>38</v>
      </c>
      <c r="E1586">
        <v>39</v>
      </c>
      <c r="F1586">
        <v>1</v>
      </c>
      <c r="G1586">
        <v>2</v>
      </c>
      <c r="H1586" s="1">
        <v>1.9791666666666668E-3</v>
      </c>
      <c r="I1586">
        <v>2018</v>
      </c>
      <c r="J1586" t="s">
        <v>1</v>
      </c>
      <c r="K1586" s="2" t="str">
        <f>HYPERLINK("https://www.nba.com/stats/events?CFID=&amp;CFPARAMS=&amp;GameEventID=255&amp;GameID=0021800442&amp;Season=2018-19&amp;flag=1&amp;title=Ibaka%202'%20Cutting%20Dunk%20Shot%20(7%20PTS)%20(Leonard%202%20AST)", "Ibaka 2' Cutting Dunk Shot (7 PTS) (Leonard 2 AST)")</f>
        <v>Ibaka 2' Cutting Dunk Shot (7 PTS) (Leonard 2 AST)</v>
      </c>
      <c r="L1586" s="2" t="str">
        <f>HYPERLINK("https://www.nba.com/game/...-vs-...-0021800442/play-by-play?watchFullGame=true", "TOR vs DEN - Q2 02:51.00")</f>
        <v>TOR vs DEN - Q2 02:51.00</v>
      </c>
      <c r="M1586">
        <v>2</v>
      </c>
      <c r="N1586">
        <v>13</v>
      </c>
      <c r="O1586">
        <v>13</v>
      </c>
      <c r="P1586">
        <v>13</v>
      </c>
      <c r="Q1586">
        <v>13</v>
      </c>
      <c r="R1586" t="s">
        <v>0</v>
      </c>
      <c r="S1586" t="s">
        <v>0</v>
      </c>
      <c r="T1586" t="s">
        <v>0</v>
      </c>
    </row>
    <row r="1587" spans="1:20" x14ac:dyDescent="0.25">
      <c r="A1587">
        <v>21800506</v>
      </c>
      <c r="B1587" t="s">
        <v>10</v>
      </c>
      <c r="C1587" t="s">
        <v>9</v>
      </c>
      <c r="D1587">
        <v>13</v>
      </c>
      <c r="E1587">
        <v>23</v>
      </c>
      <c r="F1587">
        <v>10</v>
      </c>
      <c r="G1587">
        <v>1</v>
      </c>
      <c r="H1587" s="1">
        <v>3.3564814814814816E-3</v>
      </c>
      <c r="I1587">
        <v>2018</v>
      </c>
      <c r="J1587" t="s">
        <v>1</v>
      </c>
      <c r="K1587" s="2" t="str">
        <f>HYPERLINK("https://www.nba.com/stats/events?CFID=&amp;CFPARAMS=&amp;GameEventID=73&amp;GameID=0021800506&amp;Season=2018-19&amp;flag=1&amp;title=Anunoby%2026'%203PT%20Jump%20Shot%20(3%20PTS)%20(Leonard%202%20AST)", "Anunoby 26' 3PT Jump Shot (3 PTS) (Leonard 2 AST)")</f>
        <v>Anunoby 26' 3PT Jump Shot (3 PTS) (Leonard 2 AST)</v>
      </c>
      <c r="L1587" s="2" t="str">
        <f>HYPERLINK("https://www.nba.com/game/...-vs-...-0021800506/play-by-play?watchFullGame=true", "TOR vs MIA - Q1 04:50.00")</f>
        <v>TOR vs MIA - Q1 04:50.00</v>
      </c>
      <c r="M1587">
        <v>26</v>
      </c>
      <c r="N1587">
        <v>182</v>
      </c>
      <c r="O1587">
        <v>186</v>
      </c>
      <c r="P1587">
        <v>182</v>
      </c>
      <c r="Q1587">
        <v>186</v>
      </c>
      <c r="R1587" t="s">
        <v>0</v>
      </c>
      <c r="S1587" t="s">
        <v>0</v>
      </c>
      <c r="T1587" t="s">
        <v>0</v>
      </c>
    </row>
    <row r="1588" spans="1:20" x14ac:dyDescent="0.25">
      <c r="A1588">
        <v>21800563</v>
      </c>
      <c r="B1588" t="s">
        <v>4</v>
      </c>
      <c r="C1588" t="s">
        <v>37</v>
      </c>
      <c r="D1588">
        <v>27</v>
      </c>
      <c r="E1588">
        <v>50</v>
      </c>
      <c r="F1588">
        <v>23</v>
      </c>
      <c r="G1588">
        <v>2</v>
      </c>
      <c r="H1588" s="1">
        <v>5.2662037037037035E-3</v>
      </c>
      <c r="I1588">
        <v>2018</v>
      </c>
      <c r="J1588" t="s">
        <v>1</v>
      </c>
      <c r="K1588" s="2" t="str">
        <f>HYPERLINK("https://www.nba.com/stats/events?CFID=&amp;CFPARAMS=&amp;GameEventID=218&amp;GameID=0021800563&amp;Season=2018-19&amp;flag=1&amp;title=Powell%202'%20Driving%20Dunk%20(8%20PTS)%20(Leonard%202%20AST)", "Powell 2' Driving Dunk (8 PTS) (Leonard 2 AST)")</f>
        <v>Powell 2' Driving Dunk (8 PTS) (Leonard 2 AST)</v>
      </c>
      <c r="L1588" s="2" t="str">
        <f>HYPERLINK("https://www.nba.com/game/...-vs-...-0021800563/play-by-play?watchFullGame=true", "TOR vs SAS - Q2 07:35.00")</f>
        <v>TOR vs SAS - Q2 07:35.00</v>
      </c>
      <c r="M1588">
        <v>2</v>
      </c>
      <c r="N1588">
        <v>-3</v>
      </c>
      <c r="O1588">
        <v>17</v>
      </c>
      <c r="P1588">
        <v>-3</v>
      </c>
      <c r="Q1588">
        <v>17</v>
      </c>
      <c r="R1588" t="s">
        <v>0</v>
      </c>
      <c r="S1588" t="s">
        <v>0</v>
      </c>
      <c r="T1588" t="s">
        <v>0</v>
      </c>
    </row>
    <row r="1589" spans="1:20" x14ac:dyDescent="0.25">
      <c r="A1589">
        <v>21800580</v>
      </c>
      <c r="B1589" t="s">
        <v>10</v>
      </c>
      <c r="C1589" t="s">
        <v>9</v>
      </c>
      <c r="D1589">
        <v>110</v>
      </c>
      <c r="E1589">
        <v>98</v>
      </c>
      <c r="F1589">
        <v>12</v>
      </c>
      <c r="G1589">
        <v>4</v>
      </c>
      <c r="H1589" s="1">
        <v>3.6111111111111109E-3</v>
      </c>
      <c r="I1589">
        <v>2018</v>
      </c>
      <c r="J1589" t="s">
        <v>1</v>
      </c>
      <c r="K1589" s="2" t="str">
        <f>HYPERLINK("https://www.nba.com/stats/events?CFID=&amp;CFPARAMS=&amp;GameEventID=557&amp;GameID=0021800580&amp;Season=2018-19&amp;flag=1&amp;title=Siakam%203PT%20Jump%20Shot%20(24%20PTS)%20(Leonard%206%20AST)", "Siakam 3PT Jump Shot (24 PTS) (Leonard 6 AST)")</f>
        <v>Siakam 3PT Jump Shot (24 PTS) (Leonard 6 AST)</v>
      </c>
      <c r="L1589" s="2" t="str">
        <f>HYPERLINK("https://www.nba.com/game/...-vs-...-0021800580/play-by-play?watchFullGame=true", "TOR vs MIL - Q4 05:12.00")</f>
        <v>TOR vs MIL - Q4 05:12.00</v>
      </c>
      <c r="M1589">
        <v>0</v>
      </c>
      <c r="N1589">
        <v>-223</v>
      </c>
      <c r="O1589">
        <v>36</v>
      </c>
      <c r="P1589">
        <v>-223</v>
      </c>
      <c r="Q1589">
        <v>36</v>
      </c>
      <c r="R1589" t="s">
        <v>0</v>
      </c>
      <c r="S1589" t="s">
        <v>0</v>
      </c>
      <c r="T1589" t="s">
        <v>0</v>
      </c>
    </row>
    <row r="1590" spans="1:20" x14ac:dyDescent="0.25">
      <c r="A1590">
        <v>21800602</v>
      </c>
      <c r="B1590" t="s">
        <v>4</v>
      </c>
      <c r="C1590" t="s">
        <v>20</v>
      </c>
      <c r="D1590">
        <v>9</v>
      </c>
      <c r="E1590">
        <v>5</v>
      </c>
      <c r="F1590">
        <v>4</v>
      </c>
      <c r="G1590">
        <v>1</v>
      </c>
      <c r="H1590" s="1">
        <v>6.099537037037037E-3</v>
      </c>
      <c r="I1590">
        <v>2018</v>
      </c>
      <c r="J1590" t="s">
        <v>1</v>
      </c>
      <c r="K1590" s="2" t="str">
        <f>HYPERLINK("https://www.nba.com/stats/events?CFID=&amp;CFPARAMS=&amp;GameEventID=41&amp;GameID=0021800602&amp;Season=2018-19&amp;flag=1&amp;title=Siakam%202'%20Cutting%20Layup%20Shot%20(4%20PTS)%20(Leonard%202%20AST)", "Siakam 2' Cutting Layup Shot (4 PTS) (Leonard 2 AST)")</f>
        <v>Siakam 2' Cutting Layup Shot (4 PTS) (Leonard 2 AST)</v>
      </c>
      <c r="L1590" s="2" t="str">
        <f>HYPERLINK("https://www.nba.com/game/...-vs-...-0021800602/play-by-play?watchFullGame=true", "TOR vs ATL - Q1 08:47.00")</f>
        <v>TOR vs ATL - Q1 08:47.00</v>
      </c>
      <c r="M1590">
        <v>2</v>
      </c>
      <c r="N1590">
        <v>14</v>
      </c>
      <c r="O1590">
        <v>20</v>
      </c>
      <c r="P1590">
        <v>14</v>
      </c>
      <c r="Q1590">
        <v>20</v>
      </c>
      <c r="R1590" t="s">
        <v>0</v>
      </c>
      <c r="S1590" t="s">
        <v>0</v>
      </c>
      <c r="T1590" t="s">
        <v>0</v>
      </c>
    </row>
    <row r="1591" spans="1:20" x14ac:dyDescent="0.25">
      <c r="A1591">
        <v>21500726</v>
      </c>
      <c r="B1591" t="s">
        <v>4</v>
      </c>
      <c r="C1591" t="s">
        <v>9</v>
      </c>
      <c r="D1591">
        <v>5</v>
      </c>
      <c r="E1591">
        <v>0</v>
      </c>
      <c r="F1591">
        <v>5</v>
      </c>
      <c r="G1591">
        <v>1</v>
      </c>
      <c r="H1591" s="1">
        <v>7.8356481481481489E-3</v>
      </c>
      <c r="I1591">
        <v>2015</v>
      </c>
      <c r="J1591" t="s">
        <v>7</v>
      </c>
      <c r="K1591" s="2" t="str">
        <f>HYPERLINK("https://www.nba.com/stats/events?CFID=&amp;CFPARAMS=&amp;GameEventID=5&amp;GameID=0021500726&amp;Season=2015-16&amp;flag=1&amp;title=Aldridge%2019'%20Jump%20Shot%20(2%20PTS)%20(Leonard%201%20AST)", "Aldridge 19' Jump Shot (2 PTS) (Leonard 1 AST)")</f>
        <v>Aldridge 19' Jump Shot (2 PTS) (Leonard 1 AST)</v>
      </c>
      <c r="L1591" s="2" t="str">
        <f>HYPERLINK("https://www.nba.com/game/...-vs-...-0021500726/play-by-play?watchFullGame=true", "SAS vs ORL - Q1 11:17.00")</f>
        <v>SAS vs ORL - Q1 11:17.00</v>
      </c>
      <c r="M1591">
        <v>19</v>
      </c>
      <c r="N1591">
        <v>114</v>
      </c>
      <c r="O1591">
        <v>146</v>
      </c>
      <c r="P1591">
        <v>114</v>
      </c>
      <c r="Q1591">
        <v>146</v>
      </c>
      <c r="R1591" t="s">
        <v>0</v>
      </c>
      <c r="S1591" t="s">
        <v>0</v>
      </c>
      <c r="T1591" t="s">
        <v>0</v>
      </c>
    </row>
    <row r="1592" spans="1:20" x14ac:dyDescent="0.25">
      <c r="A1592">
        <v>21500760</v>
      </c>
      <c r="B1592" t="s">
        <v>4</v>
      </c>
      <c r="C1592" t="s">
        <v>5</v>
      </c>
      <c r="D1592">
        <v>31</v>
      </c>
      <c r="E1592">
        <v>23</v>
      </c>
      <c r="F1592">
        <v>8</v>
      </c>
      <c r="G1592">
        <v>2</v>
      </c>
      <c r="H1592" s="1">
        <v>8.067129629629629E-3</v>
      </c>
      <c r="I1592">
        <v>2015</v>
      </c>
      <c r="J1592" t="s">
        <v>12</v>
      </c>
      <c r="K1592" s="2" t="str">
        <f>HYPERLINK("https://www.nba.com/stats/events?CFID=&amp;CFPARAMS=&amp;GameEventID=131&amp;GameID=0021500760&amp;Season=2015-16&amp;flag=1&amp;title=Davis%202'%20Layup%20(2%20PTS)%20(Leonard%202%20AST)", "Davis 2' Layup (2 PTS) (Leonard 2 AST)")</f>
        <v>Davis 2' Layup (2 PTS) (Leonard 2 AST)</v>
      </c>
      <c r="L1592" s="2" t="str">
        <f>HYPERLINK("https://www.nba.com/game/...-vs-...-0021500760/play-by-play?watchFullGame=true", "POR vs HOU - Q2 11:37.00")</f>
        <v>POR vs HOU - Q2 11:37.00</v>
      </c>
      <c r="M1592">
        <v>2</v>
      </c>
      <c r="N1592">
        <v>-24</v>
      </c>
      <c r="O1592">
        <v>2</v>
      </c>
      <c r="P1592">
        <v>-24</v>
      </c>
      <c r="Q1592">
        <v>2</v>
      </c>
      <c r="R1592" t="s">
        <v>0</v>
      </c>
      <c r="S1592" t="s">
        <v>0</v>
      </c>
      <c r="T1592" t="s">
        <v>0</v>
      </c>
    </row>
    <row r="1593" spans="1:20" x14ac:dyDescent="0.25">
      <c r="A1593">
        <v>21500767</v>
      </c>
      <c r="B1593" t="s">
        <v>10</v>
      </c>
      <c r="C1593" t="s">
        <v>9</v>
      </c>
      <c r="D1593">
        <v>99</v>
      </c>
      <c r="E1593">
        <v>96</v>
      </c>
      <c r="F1593">
        <v>3</v>
      </c>
      <c r="G1593">
        <v>4</v>
      </c>
      <c r="H1593" s="1">
        <v>2.0023148148148148E-3</v>
      </c>
      <c r="I1593">
        <v>2015</v>
      </c>
      <c r="J1593" t="s">
        <v>7</v>
      </c>
      <c r="K1593" s="2" t="str">
        <f>HYPERLINK("https://www.nba.com/stats/events?CFID=&amp;CFPARAMS=&amp;GameEventID=491&amp;GameID=0021500767&amp;Season=2015-16&amp;flag=1&amp;title=Green%2025'%203PT%20Jump%20Shot%20(11%20PTS)%20(Leonard%203%20AST)", "Green 25' 3PT Jump Shot (11 PTS) (Leonard 3 AST)")</f>
        <v>Green 25' 3PT Jump Shot (11 PTS) (Leonard 3 AST)</v>
      </c>
      <c r="L1593" s="2" t="str">
        <f>HYPERLINK("https://www.nba.com/game/...-vs-...-0021500767/play-by-play?watchFullGame=true", "SAS vs LAL - Q4 02:53.00")</f>
        <v>SAS vs LAL - Q4 02:53.00</v>
      </c>
      <c r="M1593">
        <v>25</v>
      </c>
      <c r="N1593">
        <v>225</v>
      </c>
      <c r="O1593">
        <v>97</v>
      </c>
      <c r="P1593">
        <v>225</v>
      </c>
      <c r="Q1593">
        <v>97</v>
      </c>
      <c r="R1593" t="s">
        <v>0</v>
      </c>
      <c r="S1593" t="s">
        <v>0</v>
      </c>
      <c r="T1593" t="s">
        <v>0</v>
      </c>
    </row>
    <row r="1594" spans="1:20" x14ac:dyDescent="0.25">
      <c r="A1594">
        <v>21500784</v>
      </c>
      <c r="B1594" t="s">
        <v>10</v>
      </c>
      <c r="C1594" t="s">
        <v>9</v>
      </c>
      <c r="D1594">
        <v>40</v>
      </c>
      <c r="E1594">
        <v>39</v>
      </c>
      <c r="F1594">
        <v>1</v>
      </c>
      <c r="G1594">
        <v>2</v>
      </c>
      <c r="H1594" s="1">
        <v>3.7962962962962963E-3</v>
      </c>
      <c r="I1594">
        <v>2015</v>
      </c>
      <c r="J1594" t="s">
        <v>7</v>
      </c>
      <c r="K1594" s="2" t="str">
        <f>HYPERLINK("https://www.nba.com/stats/events?CFID=&amp;CFPARAMS=&amp;GameEventID=194&amp;GameID=0021500784&amp;Season=2015-16&amp;flag=1&amp;title=Diaw%2026'%203PT%20Jump%20Shot%20(3%20PTS)%20(Leonard%201%20AST)", "Diaw 26' 3PT Jump Shot (3 PTS) (Leonard 1 AST)")</f>
        <v>Diaw 26' 3PT Jump Shot (3 PTS) (Leonard 1 AST)</v>
      </c>
      <c r="L1594" s="2" t="str">
        <f>HYPERLINK("https://www.nba.com/game/...-vs-...-0021500784/play-by-play?watchFullGame=true", "SAS vs MIA - Q2 05:28.00")</f>
        <v>SAS vs MIA - Q2 05:28.00</v>
      </c>
      <c r="M1594">
        <v>26</v>
      </c>
      <c r="N1594">
        <v>74</v>
      </c>
      <c r="O1594">
        <v>247</v>
      </c>
      <c r="P1594">
        <v>74</v>
      </c>
      <c r="Q1594">
        <v>247</v>
      </c>
      <c r="R1594" t="s">
        <v>0</v>
      </c>
      <c r="S1594" t="s">
        <v>0</v>
      </c>
      <c r="T1594" t="s">
        <v>0</v>
      </c>
    </row>
    <row r="1595" spans="1:20" x14ac:dyDescent="0.25">
      <c r="A1595">
        <v>21500905</v>
      </c>
      <c r="B1595" t="s">
        <v>4</v>
      </c>
      <c r="C1595" t="s">
        <v>19</v>
      </c>
      <c r="D1595">
        <v>17</v>
      </c>
      <c r="E1595">
        <v>14</v>
      </c>
      <c r="F1595">
        <v>3</v>
      </c>
      <c r="G1595">
        <v>1</v>
      </c>
      <c r="H1595" s="1">
        <v>3.3449074074074076E-3</v>
      </c>
      <c r="I1595">
        <v>2015</v>
      </c>
      <c r="J1595" t="s">
        <v>7</v>
      </c>
      <c r="K1595" s="2" t="str">
        <f>HYPERLINK("https://www.nba.com/stats/events?CFID=&amp;CFPARAMS=&amp;GameEventID=66&amp;GameID=0021500905&amp;Season=2015-16&amp;flag=1&amp;title=Aldridge%2021'%20Pullup%20Jump%20Shot%20(2%20PTS)%20(Leonard%201%20AST)", "Aldridge 21' Pullup Jump Shot (2 PTS) (Leonard 1 AST)")</f>
        <v>Aldridge 21' Pullup Jump Shot (2 PTS) (Leonard 1 AST)</v>
      </c>
      <c r="L1595" s="2" t="str">
        <f>HYPERLINK("https://www.nba.com/game/...-vs-...-0021500905/play-by-play?watchFullGame=true", "SAS vs DET - Q1 04:49.00")</f>
        <v>SAS vs DET - Q1 04:49.00</v>
      </c>
      <c r="M1595">
        <v>21</v>
      </c>
      <c r="N1595">
        <v>125</v>
      </c>
      <c r="O1595">
        <v>164</v>
      </c>
      <c r="P1595">
        <v>125</v>
      </c>
      <c r="Q1595">
        <v>164</v>
      </c>
      <c r="R1595" t="s">
        <v>0</v>
      </c>
      <c r="S1595" t="s">
        <v>0</v>
      </c>
      <c r="T1595" t="s">
        <v>0</v>
      </c>
    </row>
    <row r="1596" spans="1:20" x14ac:dyDescent="0.25">
      <c r="A1596">
        <v>21500982</v>
      </c>
      <c r="B1596" t="s">
        <v>10</v>
      </c>
      <c r="C1596" t="s">
        <v>9</v>
      </c>
      <c r="D1596">
        <v>23</v>
      </c>
      <c r="E1596">
        <v>19</v>
      </c>
      <c r="F1596">
        <v>4</v>
      </c>
      <c r="G1596">
        <v>1</v>
      </c>
      <c r="H1596" s="1">
        <v>1.2037037037037038E-3</v>
      </c>
      <c r="I1596">
        <v>2015</v>
      </c>
      <c r="J1596" t="s">
        <v>12</v>
      </c>
      <c r="K1596" s="2" t="str">
        <f>HYPERLINK("https://www.nba.com/stats/events?CFID=&amp;CFPARAMS=&amp;GameEventID=84&amp;GameID=0021500982&amp;Season=2015-16&amp;flag=1&amp;title=Crabbe%2025'%203PT%20Jump%20Shot%20(3%20PTS)%20(Leonard%201%20AST)", "Crabbe 25' 3PT Jump Shot (3 PTS) (Leonard 1 AST)")</f>
        <v>Crabbe 25' 3PT Jump Shot (3 PTS) (Leonard 1 AST)</v>
      </c>
      <c r="L1596" s="2" t="str">
        <f>HYPERLINK("https://www.nba.com/game/...-vs-...-0021500982/play-by-play?watchFullGame=true", "POR vs ORL - Q1 01:44.00")</f>
        <v>POR vs ORL - Q1 01:44.00</v>
      </c>
      <c r="M1596">
        <v>25</v>
      </c>
      <c r="N1596">
        <v>-183</v>
      </c>
      <c r="O1596">
        <v>164</v>
      </c>
      <c r="P1596">
        <v>-183</v>
      </c>
      <c r="Q1596">
        <v>164</v>
      </c>
      <c r="R1596" t="s">
        <v>0</v>
      </c>
      <c r="S1596" t="s">
        <v>0</v>
      </c>
      <c r="T1596" t="s">
        <v>0</v>
      </c>
    </row>
    <row r="1597" spans="1:20" x14ac:dyDescent="0.25">
      <c r="A1597">
        <v>21501018</v>
      </c>
      <c r="B1597" t="s">
        <v>4</v>
      </c>
      <c r="C1597" t="s">
        <v>38</v>
      </c>
      <c r="D1597">
        <v>84</v>
      </c>
      <c r="E1597">
        <v>69</v>
      </c>
      <c r="F1597">
        <v>15</v>
      </c>
      <c r="G1597">
        <v>3</v>
      </c>
      <c r="H1597" s="1">
        <v>2.650462962962963E-3</v>
      </c>
      <c r="I1597">
        <v>2015</v>
      </c>
      <c r="J1597" t="s">
        <v>7</v>
      </c>
      <c r="K1597" s="2" t="str">
        <f>HYPERLINK("https://www.nba.com/stats/events?CFID=&amp;CFPARAMS=&amp;GameEventID=363&amp;GameID=0021501018&amp;Season=2015-16&amp;flag=1&amp;title=Duncan%20%20Dunk%20(11%20PTS)%20(Leonard%201%20AST)", "Duncan  Dunk (11 PTS) (Leonard 1 AST)")</f>
        <v>Duncan  Dunk (11 PTS) (Leonard 1 AST)</v>
      </c>
      <c r="L1597" s="2" t="str">
        <f>HYPERLINK("https://www.nba.com/game/...-vs-...-0021501018/play-by-play?watchFullGame=true", "SAS vs POR - Q3 03:49.00")</f>
        <v>SAS vs POR - Q3 03:49.00</v>
      </c>
      <c r="M1597">
        <v>0</v>
      </c>
      <c r="N1597">
        <v>0</v>
      </c>
      <c r="O1597">
        <v>1</v>
      </c>
      <c r="P1597">
        <v>0</v>
      </c>
      <c r="Q1597">
        <v>1</v>
      </c>
      <c r="R1597" t="s">
        <v>0</v>
      </c>
      <c r="S1597" t="s">
        <v>0</v>
      </c>
      <c r="T1597" t="s">
        <v>0</v>
      </c>
    </row>
    <row r="1598" spans="1:20" x14ac:dyDescent="0.25">
      <c r="A1598">
        <v>21501118</v>
      </c>
      <c r="B1598" t="s">
        <v>10</v>
      </c>
      <c r="C1598" t="s">
        <v>9</v>
      </c>
      <c r="D1598">
        <v>18</v>
      </c>
      <c r="E1598">
        <v>10</v>
      </c>
      <c r="F1598">
        <v>8</v>
      </c>
      <c r="G1598">
        <v>1</v>
      </c>
      <c r="H1598" s="1">
        <v>4.2245370370370371E-3</v>
      </c>
      <c r="I1598">
        <v>2015</v>
      </c>
      <c r="J1598" t="s">
        <v>7</v>
      </c>
      <c r="K1598" s="2" t="str">
        <f>HYPERLINK("https://www.nba.com/stats/events?CFID=&amp;CFPARAMS=&amp;GameEventID=49&amp;GameID=0021501118&amp;Season=2015-16&amp;flag=1&amp;title=Green%2025'%203PT%20Jump%20Shot%20(8%20PTS)%20(Leonard%202%20AST)", "Green 25' 3PT Jump Shot (8 PTS) (Leonard 2 AST)")</f>
        <v>Green 25' 3PT Jump Shot (8 PTS) (Leonard 2 AST)</v>
      </c>
      <c r="L1598" s="2" t="str">
        <f>HYPERLINK("https://www.nba.com/game/...-vs-...-0021501118/play-by-play?watchFullGame=true", "SAS vs NOP - Q1 06:05.00")</f>
        <v>SAS vs NOP - Q1 06:05.00</v>
      </c>
      <c r="M1598">
        <v>25</v>
      </c>
      <c r="N1598">
        <v>130</v>
      </c>
      <c r="O1598">
        <v>210</v>
      </c>
      <c r="P1598">
        <v>130</v>
      </c>
      <c r="Q1598">
        <v>210</v>
      </c>
      <c r="R1598" t="s">
        <v>0</v>
      </c>
      <c r="S1598" t="s">
        <v>0</v>
      </c>
      <c r="T1598" t="s">
        <v>0</v>
      </c>
    </row>
    <row r="1599" spans="1:20" x14ac:dyDescent="0.25">
      <c r="A1599">
        <v>21301054</v>
      </c>
      <c r="B1599" t="s">
        <v>10</v>
      </c>
      <c r="C1599" t="s">
        <v>9</v>
      </c>
      <c r="D1599">
        <v>74</v>
      </c>
      <c r="E1599">
        <v>61</v>
      </c>
      <c r="F1599">
        <v>13</v>
      </c>
      <c r="G1599">
        <v>3</v>
      </c>
      <c r="H1599" s="1">
        <v>3.4027777777777776E-3</v>
      </c>
      <c r="I1599">
        <v>2013</v>
      </c>
      <c r="J1599" t="s">
        <v>7</v>
      </c>
      <c r="K1599" s="2" t="str">
        <f>HYPERLINK("https://www.nba.com/stats/events?CFID=&amp;CFPARAMS=&amp;GameEventID=312&amp;GameID=0021301054&amp;Season=2013-14&amp;flag=1&amp;title=Daye%2025'%203PT%20Jump%20Shot%20(11%20PTS)%20(Leonard%202%20AST)", "Daye 25' 3PT Jump Shot (11 PTS) (Leonard 2 AST)")</f>
        <v>Daye 25' 3PT Jump Shot (11 PTS) (Leonard 2 AST)</v>
      </c>
      <c r="L1599" s="2" t="str">
        <f>HYPERLINK("https://www.nba.com/game/...-vs-...-0021301054/play-by-play?watchFullGame=true", "SAS vs PHI - Q3 04:54.00")</f>
        <v>SAS vs PHI - Q3 04:54.00</v>
      </c>
      <c r="M1599">
        <v>25</v>
      </c>
      <c r="N1599">
        <v>225</v>
      </c>
      <c r="O1599">
        <v>108</v>
      </c>
      <c r="P1599">
        <v>225</v>
      </c>
      <c r="Q1599">
        <v>108</v>
      </c>
      <c r="R1599" t="s">
        <v>0</v>
      </c>
      <c r="S1599" t="s">
        <v>0</v>
      </c>
      <c r="T1599" t="s">
        <v>0</v>
      </c>
    </row>
    <row r="1600" spans="1:20" x14ac:dyDescent="0.25">
      <c r="A1600">
        <v>21301154</v>
      </c>
      <c r="B1600" t="s">
        <v>10</v>
      </c>
      <c r="C1600" t="s">
        <v>9</v>
      </c>
      <c r="D1600">
        <v>57</v>
      </c>
      <c r="E1600">
        <v>41</v>
      </c>
      <c r="F1600">
        <v>16</v>
      </c>
      <c r="G1600">
        <v>3</v>
      </c>
      <c r="H1600" s="1">
        <v>7.766203703703704E-3</v>
      </c>
      <c r="I1600">
        <v>2013</v>
      </c>
      <c r="J1600" t="s">
        <v>7</v>
      </c>
      <c r="K1600" s="2" t="str">
        <f>HYPERLINK("https://www.nba.com/stats/events?CFID=&amp;CFPARAMS=&amp;GameEventID=253&amp;GameID=0021301154&amp;Season=2013-14&amp;flag=1&amp;title=Green%2026'%203PT%20Jump%20Shot%20(3%20PTS)%20(Leonard%204%20AST)", "Green 26' 3PT Jump Shot (3 PTS) (Leonard 4 AST)")</f>
        <v>Green 26' 3PT Jump Shot (3 PTS) (Leonard 4 AST)</v>
      </c>
      <c r="L1600" s="2" t="str">
        <f>HYPERLINK("https://www.nba.com/game/...-vs-...-0021301154/play-by-play?watchFullGame=true", "SAS vs MEM - Q3 11:11.00")</f>
        <v>SAS vs MEM - Q3 11:11.00</v>
      </c>
      <c r="M1600">
        <v>26</v>
      </c>
      <c r="N1600">
        <v>176</v>
      </c>
      <c r="O1600">
        <v>197</v>
      </c>
      <c r="P1600">
        <v>176</v>
      </c>
      <c r="Q1600">
        <v>197</v>
      </c>
      <c r="R1600" t="s">
        <v>0</v>
      </c>
      <c r="S1600" t="s">
        <v>0</v>
      </c>
      <c r="T1600" t="s">
        <v>0</v>
      </c>
    </row>
    <row r="1601" spans="1:20" x14ac:dyDescent="0.25">
      <c r="A1601">
        <v>21400712</v>
      </c>
      <c r="B1601" t="s">
        <v>10</v>
      </c>
      <c r="C1601" t="s">
        <v>9</v>
      </c>
      <c r="D1601">
        <v>88</v>
      </c>
      <c r="E1601">
        <v>95</v>
      </c>
      <c r="F1601">
        <v>7</v>
      </c>
      <c r="G1601">
        <v>4</v>
      </c>
      <c r="H1601" s="1">
        <v>0</v>
      </c>
      <c r="I1601">
        <v>2014</v>
      </c>
      <c r="J1601" t="s">
        <v>12</v>
      </c>
      <c r="K1601" s="2" t="str">
        <f>HYPERLINK("https://www.nba.com/stats/events?CFID=&amp;CFPARAMS=&amp;GameEventID=506&amp;GameID=0021400712&amp;Season=2014-15&amp;flag=1&amp;title=Claver%2027'%203PT%20Jump%20Shot%20(3%20PTS)%20(Leonard%201%20AST)", "Claver 27' 3PT Jump Shot (3 PTS) (Leonard 1 AST)")</f>
        <v>Claver 27' 3PT Jump Shot (3 PTS) (Leonard 1 AST)</v>
      </c>
      <c r="L1601" s="2" t="str">
        <f>HYPERLINK("https://www.nba.com/game/...-vs-...-0021400712/play-by-play?watchFullGame=true", "POR vs MIL - Q4 00:00.00")</f>
        <v>POR vs MIL - Q4 00:00.00</v>
      </c>
      <c r="M1601">
        <v>27</v>
      </c>
      <c r="N1601">
        <v>-212</v>
      </c>
      <c r="O1601">
        <v>159</v>
      </c>
      <c r="P1601">
        <v>-212</v>
      </c>
      <c r="Q1601">
        <v>159</v>
      </c>
      <c r="R1601" t="s">
        <v>0</v>
      </c>
      <c r="S1601" t="s">
        <v>0</v>
      </c>
      <c r="T1601" t="s">
        <v>0</v>
      </c>
    </row>
    <row r="1602" spans="1:20" x14ac:dyDescent="0.25">
      <c r="A1602">
        <v>21401084</v>
      </c>
      <c r="B1602" t="s">
        <v>10</v>
      </c>
      <c r="C1602" t="s">
        <v>9</v>
      </c>
      <c r="D1602">
        <v>44</v>
      </c>
      <c r="E1602">
        <v>25</v>
      </c>
      <c r="F1602">
        <v>19</v>
      </c>
      <c r="G1602">
        <v>2</v>
      </c>
      <c r="H1602" s="1">
        <v>4.5023148148148149E-3</v>
      </c>
      <c r="I1602">
        <v>2014</v>
      </c>
      <c r="J1602" t="s">
        <v>7</v>
      </c>
      <c r="K1602" s="2" t="str">
        <f>HYPERLINK("https://www.nba.com/stats/events?CFID=&amp;CFPARAMS=&amp;GameEventID=177&amp;GameID=0021401084&amp;Season=2014-15&amp;flag=1&amp;title=Green%2024'%203PT%20Jump%20Shot%20(6%20PTS)%20(Leonard%202%20AST)", "Green 24' 3PT Jump Shot (6 PTS) (Leonard 2 AST)")</f>
        <v>Green 24' 3PT Jump Shot (6 PTS) (Leonard 2 AST)</v>
      </c>
      <c r="L1602" s="2" t="str">
        <f>HYPERLINK("https://www.nba.com/game/...-vs-...-0021401084/play-by-play?watchFullGame=true", "SAS vs DAL - Q2 06:29.00")</f>
        <v>SAS vs DAL - Q2 06:29.00</v>
      </c>
      <c r="M1602">
        <v>24</v>
      </c>
      <c r="N1602">
        <v>-220</v>
      </c>
      <c r="O1602">
        <v>105</v>
      </c>
      <c r="P1602">
        <v>-220</v>
      </c>
      <c r="Q1602">
        <v>105</v>
      </c>
      <c r="R1602" t="s">
        <v>0</v>
      </c>
      <c r="S1602" t="s">
        <v>0</v>
      </c>
      <c r="T1602" t="s">
        <v>0</v>
      </c>
    </row>
    <row r="1603" spans="1:20" x14ac:dyDescent="0.25">
      <c r="A1603">
        <v>21401113</v>
      </c>
      <c r="B1603" t="s">
        <v>4</v>
      </c>
      <c r="C1603" t="s">
        <v>53</v>
      </c>
      <c r="D1603">
        <v>43</v>
      </c>
      <c r="E1603">
        <v>26</v>
      </c>
      <c r="F1603">
        <v>17</v>
      </c>
      <c r="G1603">
        <v>2</v>
      </c>
      <c r="H1603" s="1">
        <v>3.8310185185185183E-3</v>
      </c>
      <c r="I1603">
        <v>2014</v>
      </c>
      <c r="J1603" t="s">
        <v>7</v>
      </c>
      <c r="K1603" s="2" t="str">
        <f>HYPERLINK("https://www.nba.com/stats/events?CFID=&amp;CFPARAMS=&amp;GameEventID=197&amp;GameID=0021401113&amp;Season=2014-15&amp;flag=1&amp;title=Splitter%20Slam%20Dunk%20(4%20PTS)%20(Leonard%201%20AST)", "Splitter Slam Dunk (4 PTS) (Leonard 1 AST)")</f>
        <v>Splitter Slam Dunk (4 PTS) (Leonard 1 AST)</v>
      </c>
      <c r="L1603" s="2" t="str">
        <f>HYPERLINK("https://www.nba.com/game/...-vs-...-0021401113/play-by-play?watchFullGame=true", "SAS vs ORL - Q2 05:31.00")</f>
        <v>SAS vs ORL - Q2 05:31.00</v>
      </c>
      <c r="M1603">
        <v>0</v>
      </c>
      <c r="N1603">
        <v>0</v>
      </c>
      <c r="O1603">
        <v>1</v>
      </c>
      <c r="P1603">
        <v>0</v>
      </c>
      <c r="Q1603">
        <v>1</v>
      </c>
      <c r="R1603" t="s">
        <v>0</v>
      </c>
      <c r="S1603" t="s">
        <v>0</v>
      </c>
      <c r="T1603" t="s">
        <v>0</v>
      </c>
    </row>
    <row r="1604" spans="1:20" x14ac:dyDescent="0.25">
      <c r="A1604">
        <v>21500182</v>
      </c>
      <c r="B1604" t="s">
        <v>4</v>
      </c>
      <c r="C1604" t="s">
        <v>19</v>
      </c>
      <c r="D1604">
        <v>55</v>
      </c>
      <c r="E1604">
        <v>58</v>
      </c>
      <c r="F1604">
        <v>3</v>
      </c>
      <c r="G1604">
        <v>3</v>
      </c>
      <c r="H1604" s="1">
        <v>4.386574074074074E-3</v>
      </c>
      <c r="I1604">
        <v>2015</v>
      </c>
      <c r="J1604" t="s">
        <v>7</v>
      </c>
      <c r="K1604" s="2" t="str">
        <f>HYPERLINK("https://www.nba.com/stats/events?CFID=&amp;CFPARAMS=&amp;GameEventID=357&amp;GameID=0021500182&amp;Season=2015-16&amp;flag=1&amp;title=Aldridge%2016'%20Pullup%20Jump%20Shot%20(16%20PTS)%20(Leonard%202%20AST)", "Aldridge 16' Pullup Jump Shot (16 PTS) (Leonard 2 AST)")</f>
        <v>Aldridge 16' Pullup Jump Shot (16 PTS) (Leonard 2 AST)</v>
      </c>
      <c r="L1604" s="2" t="str">
        <f>HYPERLINK("https://www.nba.com/game/...-vs-...-0021500182/play-by-play?watchFullGame=true", "SAS vs NOP - Q3 06:19.00")</f>
        <v>SAS vs NOP - Q3 06:19.00</v>
      </c>
      <c r="M1604">
        <v>16</v>
      </c>
      <c r="N1604">
        <v>128</v>
      </c>
      <c r="O1604">
        <v>100</v>
      </c>
      <c r="P1604">
        <v>128</v>
      </c>
      <c r="Q1604">
        <v>100</v>
      </c>
      <c r="R1604" t="s">
        <v>0</v>
      </c>
      <c r="S1604" t="s">
        <v>0</v>
      </c>
      <c r="T1604" t="s">
        <v>0</v>
      </c>
    </row>
    <row r="1605" spans="1:20" x14ac:dyDescent="0.25">
      <c r="A1605">
        <v>21500323</v>
      </c>
      <c r="B1605" t="s">
        <v>4</v>
      </c>
      <c r="C1605" t="s">
        <v>9</v>
      </c>
      <c r="D1605">
        <v>4</v>
      </c>
      <c r="E1605">
        <v>4</v>
      </c>
      <c r="F1605">
        <v>0</v>
      </c>
      <c r="G1605">
        <v>1</v>
      </c>
      <c r="H1605" s="1">
        <v>7.083333333333333E-3</v>
      </c>
      <c r="I1605">
        <v>2015</v>
      </c>
      <c r="J1605" t="s">
        <v>7</v>
      </c>
      <c r="K1605" s="2" t="str">
        <f>HYPERLINK("https://www.nba.com/stats/events?CFID=&amp;CFPARAMS=&amp;GameEventID=10&amp;GameID=0021500323&amp;Season=2015-16&amp;flag=1&amp;title=Aldridge%2021'%20Jump%20Shot%20(2%20PTS)%20(Leonard%201%20AST)", "Aldridge 21' Jump Shot (2 PTS) (Leonard 1 AST)")</f>
        <v>Aldridge 21' Jump Shot (2 PTS) (Leonard 1 AST)</v>
      </c>
      <c r="L1605" s="2" t="str">
        <f>HYPERLINK("https://www.nba.com/game/...-vs-...-0021500323/play-by-play?watchFullGame=true", "SAS vs TOR - Q1 10:12.00")</f>
        <v>SAS vs TOR - Q1 10:12.00</v>
      </c>
      <c r="M1605">
        <v>21</v>
      </c>
      <c r="N1605">
        <v>0</v>
      </c>
      <c r="O1605">
        <v>208</v>
      </c>
      <c r="P1605">
        <v>0</v>
      </c>
      <c r="Q1605">
        <v>208</v>
      </c>
      <c r="R1605" t="s">
        <v>0</v>
      </c>
      <c r="S1605" t="s">
        <v>0</v>
      </c>
      <c r="T1605" t="s">
        <v>0</v>
      </c>
    </row>
    <row r="1606" spans="1:20" x14ac:dyDescent="0.25">
      <c r="A1606">
        <v>21500378</v>
      </c>
      <c r="B1606" t="s">
        <v>4</v>
      </c>
      <c r="C1606" t="s">
        <v>38</v>
      </c>
      <c r="D1606">
        <v>81</v>
      </c>
      <c r="E1606">
        <v>99</v>
      </c>
      <c r="F1606">
        <v>18</v>
      </c>
      <c r="G1606">
        <v>4</v>
      </c>
      <c r="H1606" s="1">
        <v>4.2824074074074075E-3</v>
      </c>
      <c r="I1606">
        <v>2015</v>
      </c>
      <c r="J1606" t="s">
        <v>12</v>
      </c>
      <c r="K1606" s="2" t="str">
        <f>HYPERLINK("https://www.nba.com/stats/events?CFID=&amp;CFPARAMS=&amp;GameEventID=529&amp;GameID=0021500378&amp;Season=2015-16&amp;flag=1&amp;title=Davis%20%20Dunk%20(9%20PTS)%20(Leonard%201%20AST)", "Davis  Dunk (9 PTS) (Leonard 1 AST)")</f>
        <v>Davis  Dunk (9 PTS) (Leonard 1 AST)</v>
      </c>
      <c r="L1606" s="2" t="str">
        <f>HYPERLINK("https://www.nba.com/game/...-vs-...-0021500378/play-by-play?watchFullGame=true", "POR vs OKC - Q4 06:10.00")</f>
        <v>POR vs OKC - Q4 06:10.00</v>
      </c>
      <c r="M1606">
        <v>0</v>
      </c>
      <c r="N1606">
        <v>0</v>
      </c>
      <c r="O1606">
        <v>1</v>
      </c>
      <c r="P1606">
        <v>0</v>
      </c>
      <c r="Q1606">
        <v>1</v>
      </c>
      <c r="R1606" t="s">
        <v>0</v>
      </c>
      <c r="S1606" t="s">
        <v>0</v>
      </c>
      <c r="T1606" t="s">
        <v>0</v>
      </c>
    </row>
    <row r="1607" spans="1:20" x14ac:dyDescent="0.25">
      <c r="A1607">
        <v>21801157</v>
      </c>
      <c r="B1607" t="s">
        <v>10</v>
      </c>
      <c r="C1607" t="s">
        <v>9</v>
      </c>
      <c r="D1607">
        <v>108</v>
      </c>
      <c r="E1607">
        <v>109</v>
      </c>
      <c r="F1607">
        <v>1</v>
      </c>
      <c r="G1607">
        <v>4</v>
      </c>
      <c r="H1607" s="1">
        <v>6.3078703703703708E-3</v>
      </c>
      <c r="I1607">
        <v>2018</v>
      </c>
      <c r="J1607" t="s">
        <v>12</v>
      </c>
      <c r="K1607" s="2" t="str">
        <f>HYPERLINK("https://www.nba.com/stats/events?CFID=&amp;CFPARAMS=&amp;GameEventID=524&amp;GameID=0021801157&amp;Season=2018-19&amp;flag=1&amp;title=Layman%2025'%203PT%20Jump%20Shot%20(11%20PTS)%20(Leonard%202%20AST)", "Layman 25' 3PT Jump Shot (11 PTS) (Leonard 2 AST)")</f>
        <v>Layman 25' 3PT Jump Shot (11 PTS) (Leonard 2 AST)</v>
      </c>
      <c r="L1607" s="2" t="str">
        <f>HYPERLINK("https://www.nba.com/game/...-vs-...-0021801157/play-by-play?watchFullGame=true", "POR vs MIN - Q4 09:05.00")</f>
        <v>POR vs MIN - Q4 09:05.00</v>
      </c>
      <c r="M1607">
        <v>25</v>
      </c>
      <c r="N1607">
        <v>-204</v>
      </c>
      <c r="O1607">
        <v>138</v>
      </c>
      <c r="P1607">
        <v>-204</v>
      </c>
      <c r="Q1607">
        <v>138</v>
      </c>
      <c r="R1607" t="s">
        <v>0</v>
      </c>
      <c r="S1607" t="s">
        <v>0</v>
      </c>
      <c r="T1607" t="s">
        <v>0</v>
      </c>
    </row>
    <row r="1608" spans="1:20" x14ac:dyDescent="0.25">
      <c r="A1608">
        <v>21801195</v>
      </c>
      <c r="B1608" t="s">
        <v>10</v>
      </c>
      <c r="C1608" t="s">
        <v>9</v>
      </c>
      <c r="D1608">
        <v>62</v>
      </c>
      <c r="E1608">
        <v>67</v>
      </c>
      <c r="F1608">
        <v>5</v>
      </c>
      <c r="G1608">
        <v>3</v>
      </c>
      <c r="H1608" s="1">
        <v>4.5370370370370373E-3</v>
      </c>
      <c r="I1608">
        <v>2018</v>
      </c>
      <c r="J1608" t="s">
        <v>1</v>
      </c>
      <c r="K1608" s="2" t="str">
        <f>HYPERLINK("https://www.nba.com/stats/events?CFID=&amp;CFPARAMS=&amp;GameEventID=365&amp;GameID=0021801195&amp;Season=2018-19&amp;flag=1&amp;title=Green%203PT%20Jump%20Shot%20(12%20PTS)%20(Leonard%202%20AST)", "Green 3PT Jump Shot (12 PTS) (Leonard 2 AST)")</f>
        <v>Green 3PT Jump Shot (12 PTS) (Leonard 2 AST)</v>
      </c>
      <c r="L1608" s="2" t="str">
        <f>HYPERLINK("https://www.nba.com/game/...-vs-...-0021801195/play-by-play?watchFullGame=true", "TOR vs MIA - Q3 06:32.00")</f>
        <v>TOR vs MIA - Q3 06:32.00</v>
      </c>
      <c r="M1608">
        <v>0</v>
      </c>
      <c r="N1608">
        <v>-232</v>
      </c>
      <c r="O1608">
        <v>-28</v>
      </c>
      <c r="P1608">
        <v>-232</v>
      </c>
      <c r="Q1608">
        <v>-28</v>
      </c>
      <c r="R1608" t="s">
        <v>0</v>
      </c>
      <c r="S1608" t="s">
        <v>0</v>
      </c>
      <c r="T1608" t="s">
        <v>0</v>
      </c>
    </row>
    <row r="1609" spans="1:20" x14ac:dyDescent="0.25">
      <c r="A1609">
        <v>21600767</v>
      </c>
      <c r="B1609" t="s">
        <v>10</v>
      </c>
      <c r="C1609" t="s">
        <v>9</v>
      </c>
      <c r="D1609">
        <v>21</v>
      </c>
      <c r="E1609">
        <v>25</v>
      </c>
      <c r="F1609">
        <v>4</v>
      </c>
      <c r="G1609">
        <v>2</v>
      </c>
      <c r="H1609" s="1">
        <v>7.2800925925925923E-3</v>
      </c>
      <c r="I1609">
        <v>2016</v>
      </c>
      <c r="J1609" t="s">
        <v>12</v>
      </c>
      <c r="K1609" s="2" t="str">
        <f>HYPERLINK("https://www.nba.com/stats/events?CFID=&amp;CFPARAMS=&amp;GameEventID=177&amp;GameID=0021600767&amp;Season=2016-17&amp;flag=1&amp;title=Crabbe%2024'%203PT%20Jump%20Shot%20(3%20PTS)%20(Leonard%201%20AST)", "Crabbe 24' 3PT Jump Shot (3 PTS) (Leonard 1 AST)")</f>
        <v>Crabbe 24' 3PT Jump Shot (3 PTS) (Leonard 1 AST)</v>
      </c>
      <c r="L1609" s="2" t="str">
        <f>HYPERLINK("https://www.nba.com/game/...-vs-...-0021600767/play-by-play?watchFullGame=true", "POR vs OKC - Q2 10:29.00")</f>
        <v>POR vs OKC - Q2 10:29.00</v>
      </c>
      <c r="M1609">
        <v>24</v>
      </c>
      <c r="N1609">
        <v>-60</v>
      </c>
      <c r="O1609">
        <v>237</v>
      </c>
      <c r="P1609">
        <v>-60</v>
      </c>
      <c r="Q1609">
        <v>237</v>
      </c>
      <c r="R1609" t="s">
        <v>0</v>
      </c>
      <c r="S1609" t="s">
        <v>0</v>
      </c>
      <c r="T1609" t="s">
        <v>0</v>
      </c>
    </row>
    <row r="1610" spans="1:20" x14ac:dyDescent="0.25">
      <c r="A1610">
        <v>21600782</v>
      </c>
      <c r="B1610" t="s">
        <v>4</v>
      </c>
      <c r="C1610" t="s">
        <v>36</v>
      </c>
      <c r="D1610">
        <v>70</v>
      </c>
      <c r="E1610">
        <v>60</v>
      </c>
      <c r="F1610">
        <v>10</v>
      </c>
      <c r="G1610">
        <v>3</v>
      </c>
      <c r="H1610" s="1">
        <v>4.2939814814814811E-3</v>
      </c>
      <c r="I1610">
        <v>2016</v>
      </c>
      <c r="J1610" t="s">
        <v>7</v>
      </c>
      <c r="K1610" s="2" t="str">
        <f>HYPERLINK("https://www.nba.com/stats/events?CFID=&amp;CFPARAMS=&amp;GameEventID=297&amp;GameID=0021600782&amp;Season=2016-17&amp;flag=1&amp;title=Dedmon%202'%20Running%20Layup%20(8%20PTS)%20(Leonard%203%20AST)", "Dedmon 2' Running Layup (8 PTS) (Leonard 3 AST)")</f>
        <v>Dedmon 2' Running Layup (8 PTS) (Leonard 3 AST)</v>
      </c>
      <c r="L1610" s="2" t="str">
        <f>HYPERLINK("https://www.nba.com/game/...-vs-...-0021600782/play-by-play?watchFullGame=true", "SAS vs PHI - Q3 06:11.00")</f>
        <v>SAS vs PHI - Q3 06:11.00</v>
      </c>
      <c r="M1610">
        <v>2</v>
      </c>
      <c r="N1610">
        <v>14</v>
      </c>
      <c r="O1610">
        <v>11</v>
      </c>
      <c r="P1610">
        <v>14</v>
      </c>
      <c r="Q1610">
        <v>11</v>
      </c>
      <c r="R1610" t="s">
        <v>0</v>
      </c>
      <c r="S1610" t="s">
        <v>0</v>
      </c>
      <c r="T1610" t="s">
        <v>0</v>
      </c>
    </row>
    <row r="1611" spans="1:20" x14ac:dyDescent="0.25">
      <c r="A1611">
        <v>21600940</v>
      </c>
      <c r="B1611" t="s">
        <v>4</v>
      </c>
      <c r="C1611" t="s">
        <v>38</v>
      </c>
      <c r="D1611">
        <v>2</v>
      </c>
      <c r="E1611">
        <v>2</v>
      </c>
      <c r="F1611">
        <v>0</v>
      </c>
      <c r="G1611">
        <v>1</v>
      </c>
      <c r="H1611" s="1">
        <v>7.766203703703704E-3</v>
      </c>
      <c r="I1611">
        <v>2016</v>
      </c>
      <c r="J1611" t="s">
        <v>12</v>
      </c>
      <c r="K1611" s="2" t="str">
        <f>HYPERLINK("https://www.nba.com/stats/events?CFID=&amp;CFPARAMS=&amp;GameEventID=5&amp;GameID=0021600940&amp;Season=2016-17&amp;flag=1&amp;title=Vonleh%20%20Dunk%20(2%20PTS)%20(Leonard%201%20AST)", "Vonleh  Dunk (2 PTS) (Leonard 1 AST)")</f>
        <v>Vonleh  Dunk (2 PTS) (Leonard 1 AST)</v>
      </c>
      <c r="L1611" s="2" t="str">
        <f>HYPERLINK("https://www.nba.com/game/...-vs-...-0021600940/play-by-play?watchFullGame=true", "POR vs MIN - Q1 11:11.00")</f>
        <v>POR vs MIN - Q1 11:11.00</v>
      </c>
      <c r="M1611">
        <v>0</v>
      </c>
      <c r="N1611">
        <v>0</v>
      </c>
      <c r="O1611">
        <v>1</v>
      </c>
      <c r="P1611">
        <v>0</v>
      </c>
      <c r="Q1611">
        <v>1</v>
      </c>
      <c r="R1611" t="s">
        <v>0</v>
      </c>
      <c r="S1611" t="s">
        <v>0</v>
      </c>
      <c r="T1611" t="s">
        <v>0</v>
      </c>
    </row>
    <row r="1612" spans="1:20" x14ac:dyDescent="0.25">
      <c r="A1612">
        <v>21601011</v>
      </c>
      <c r="B1612" t="s">
        <v>4</v>
      </c>
      <c r="C1612" t="s">
        <v>9</v>
      </c>
      <c r="D1612">
        <v>20</v>
      </c>
      <c r="E1612">
        <v>21</v>
      </c>
      <c r="F1612">
        <v>1</v>
      </c>
      <c r="G1612">
        <v>1</v>
      </c>
      <c r="H1612" s="1">
        <v>2.1296296296296298E-3</v>
      </c>
      <c r="I1612">
        <v>2016</v>
      </c>
      <c r="J1612" t="s">
        <v>7</v>
      </c>
      <c r="K1612" s="2" t="str">
        <f>HYPERLINK("https://www.nba.com/stats/events?CFID=&amp;CFPARAMS=&amp;GameEventID=74&amp;GameID=0021601011&amp;Season=2016-17&amp;flag=1&amp;title=Gasol%2021'%20Jump%20Shot%20(2%20PTS)%20(Leonard%204%20AST)", "Gasol 21' Jump Shot (2 PTS) (Leonard 4 AST)")</f>
        <v>Gasol 21' Jump Shot (2 PTS) (Leonard 4 AST)</v>
      </c>
      <c r="L1612" s="2" t="str">
        <f>HYPERLINK("https://www.nba.com/game/...-vs-...-0021601011/play-by-play?watchFullGame=true", "SAS vs POR - Q1 03:04.00")</f>
        <v>SAS vs POR - Q1 03:04.00</v>
      </c>
      <c r="M1612">
        <v>21</v>
      </c>
      <c r="N1612">
        <v>209</v>
      </c>
      <c r="O1612">
        <v>-6</v>
      </c>
      <c r="P1612">
        <v>209</v>
      </c>
      <c r="Q1612">
        <v>-6</v>
      </c>
      <c r="R1612" t="s">
        <v>0</v>
      </c>
      <c r="S1612" t="s">
        <v>0</v>
      </c>
      <c r="T1612" t="s">
        <v>0</v>
      </c>
    </row>
    <row r="1613" spans="1:20" x14ac:dyDescent="0.25">
      <c r="A1613">
        <v>21601011</v>
      </c>
      <c r="B1613" t="s">
        <v>10</v>
      </c>
      <c r="C1613" t="s">
        <v>9</v>
      </c>
      <c r="D1613">
        <v>74</v>
      </c>
      <c r="E1613">
        <v>71</v>
      </c>
      <c r="F1613">
        <v>3</v>
      </c>
      <c r="G1613">
        <v>3</v>
      </c>
      <c r="H1613" s="1">
        <v>2.6157407407407405E-3</v>
      </c>
      <c r="I1613">
        <v>2016</v>
      </c>
      <c r="J1613" t="s">
        <v>7</v>
      </c>
      <c r="K1613" s="2" t="str">
        <f>HYPERLINK("https://www.nba.com/stats/events?CFID=&amp;CFPARAMS=&amp;GameEventID=302&amp;GameID=0021601011&amp;Season=2016-17&amp;flag=1&amp;title=Gasol%2024'%203PT%20Jump%20Shot%20(12%20PTS)%20(Leonard%205%20AST)", "Gasol 24' 3PT Jump Shot (12 PTS) (Leonard 5 AST)")</f>
        <v>Gasol 24' 3PT Jump Shot (12 PTS) (Leonard 5 AST)</v>
      </c>
      <c r="L1613" s="2" t="str">
        <f>HYPERLINK("https://www.nba.com/game/...-vs-...-0021601011/play-by-play?watchFullGame=true", "SAS vs POR - Q3 03:46.00")</f>
        <v>SAS vs POR - Q3 03:46.00</v>
      </c>
      <c r="M1613">
        <v>24</v>
      </c>
      <c r="N1613">
        <v>238</v>
      </c>
      <c r="O1613">
        <v>7</v>
      </c>
      <c r="P1613">
        <v>238</v>
      </c>
      <c r="Q1613">
        <v>7</v>
      </c>
      <c r="R1613" t="s">
        <v>0</v>
      </c>
      <c r="S1613" t="s">
        <v>0</v>
      </c>
      <c r="T1613" t="s">
        <v>0</v>
      </c>
    </row>
    <row r="1614" spans="1:20" x14ac:dyDescent="0.25">
      <c r="A1614">
        <v>21601086</v>
      </c>
      <c r="B1614" t="s">
        <v>4</v>
      </c>
      <c r="C1614" t="s">
        <v>19</v>
      </c>
      <c r="D1614">
        <v>25</v>
      </c>
      <c r="E1614">
        <v>18</v>
      </c>
      <c r="F1614">
        <v>7</v>
      </c>
      <c r="G1614">
        <v>1</v>
      </c>
      <c r="H1614" s="1">
        <v>8.564814814814815E-4</v>
      </c>
      <c r="I1614">
        <v>2016</v>
      </c>
      <c r="J1614" t="s">
        <v>12</v>
      </c>
      <c r="K1614" s="2" t="str">
        <f>HYPERLINK("https://www.nba.com/stats/events?CFID=&amp;CFPARAMS=&amp;GameEventID=104&amp;GameID=0021601086&amp;Season=2016-17&amp;flag=1&amp;title=Aminu%2017'%20Pullup%20Jump%20Shot%20(2%20PTS)%20(Leonard%201%20AST)", "Aminu 17' Pullup Jump Shot (2 PTS) (Leonard 1 AST)")</f>
        <v>Aminu 17' Pullup Jump Shot (2 PTS) (Leonard 1 AST)</v>
      </c>
      <c r="L1614" s="2" t="str">
        <f>HYPERLINK("https://www.nba.com/game/...-vs-...-0021601086/play-by-play?watchFullGame=true", "POR vs MIN - Q1 01:14.00")</f>
        <v>POR vs MIN - Q1 01:14.00</v>
      </c>
      <c r="M1614">
        <v>17</v>
      </c>
      <c r="N1614">
        <v>97</v>
      </c>
      <c r="O1614">
        <v>139</v>
      </c>
      <c r="P1614">
        <v>97</v>
      </c>
      <c r="Q1614">
        <v>139</v>
      </c>
      <c r="R1614" t="s">
        <v>0</v>
      </c>
      <c r="S1614" t="s">
        <v>0</v>
      </c>
      <c r="T1614" t="s">
        <v>0</v>
      </c>
    </row>
    <row r="1615" spans="1:20" x14ac:dyDescent="0.25">
      <c r="A1615">
        <v>21601135</v>
      </c>
      <c r="B1615" t="s">
        <v>10</v>
      </c>
      <c r="C1615" t="s">
        <v>9</v>
      </c>
      <c r="D1615">
        <v>14</v>
      </c>
      <c r="E1615">
        <v>21</v>
      </c>
      <c r="F1615">
        <v>7</v>
      </c>
      <c r="G1615">
        <v>1</v>
      </c>
      <c r="H1615" s="1">
        <v>1.3888888888888889E-3</v>
      </c>
      <c r="I1615">
        <v>2016</v>
      </c>
      <c r="J1615" t="s">
        <v>7</v>
      </c>
      <c r="K1615" s="2" t="str">
        <f>HYPERLINK("https://www.nba.com/stats/events?CFID=&amp;CFPARAMS=&amp;GameEventID=98&amp;GameID=0021601135&amp;Season=2016-17&amp;flag=1&amp;title=Gasol%2024'%203PT%20Jump%20Shot%20(5%20PTS)%20(Leonard%201%20AST)", "Gasol 24' 3PT Jump Shot (5 PTS) (Leonard 1 AST)")</f>
        <v>Gasol 24' 3PT Jump Shot (5 PTS) (Leonard 1 AST)</v>
      </c>
      <c r="L1615" s="2" t="str">
        <f>HYPERLINK("https://www.nba.com/game/...-vs-...-0021601135/play-by-play?watchFullGame=true", "SAS vs OKC - Q1 02:00.00")</f>
        <v>SAS vs OKC - Q1 02:00.00</v>
      </c>
      <c r="M1615">
        <v>24</v>
      </c>
      <c r="N1615">
        <v>28</v>
      </c>
      <c r="O1615">
        <v>239</v>
      </c>
      <c r="P1615">
        <v>28</v>
      </c>
      <c r="Q1615">
        <v>239</v>
      </c>
      <c r="R1615" t="s">
        <v>0</v>
      </c>
      <c r="S1615" t="s">
        <v>0</v>
      </c>
      <c r="T1615" t="s">
        <v>0</v>
      </c>
    </row>
    <row r="1616" spans="1:20" x14ac:dyDescent="0.25">
      <c r="A1616">
        <v>21601151</v>
      </c>
      <c r="B1616" t="s">
        <v>10</v>
      </c>
      <c r="C1616" t="s">
        <v>9</v>
      </c>
      <c r="D1616">
        <v>11</v>
      </c>
      <c r="E1616">
        <v>7</v>
      </c>
      <c r="F1616">
        <v>4</v>
      </c>
      <c r="G1616">
        <v>1</v>
      </c>
      <c r="H1616" s="1">
        <v>5.7407407407407407E-3</v>
      </c>
      <c r="I1616">
        <v>2016</v>
      </c>
      <c r="J1616" t="s">
        <v>7</v>
      </c>
      <c r="K1616" s="2" t="str">
        <f>HYPERLINK("https://www.nba.com/stats/events?CFID=&amp;CFPARAMS=&amp;GameEventID=21&amp;GameID=0021601151&amp;Season=2016-17&amp;flag=1&amp;title=Bertans%2026'%203PT%20Jump%20Shot%20(3%20PTS)%20(Leonard%202%20AST)", "Bertans 26' 3PT Jump Shot (3 PTS) (Leonard 2 AST)")</f>
        <v>Bertans 26' 3PT Jump Shot (3 PTS) (Leonard 2 AST)</v>
      </c>
      <c r="L1616" s="2" t="str">
        <f>HYPERLINK("https://www.nba.com/game/...-vs-...-0021601151/play-by-play?watchFullGame=true", "SAS vs UTA - Q1 08:16.00")</f>
        <v>SAS vs UTA - Q1 08:16.00</v>
      </c>
      <c r="M1616">
        <v>26</v>
      </c>
      <c r="N1616">
        <v>141</v>
      </c>
      <c r="O1616">
        <v>214</v>
      </c>
      <c r="P1616">
        <v>141</v>
      </c>
      <c r="Q1616">
        <v>214</v>
      </c>
      <c r="R1616" t="s">
        <v>0</v>
      </c>
      <c r="S1616" t="s">
        <v>0</v>
      </c>
      <c r="T1616" t="s">
        <v>0</v>
      </c>
    </row>
    <row r="1617" spans="1:20" x14ac:dyDescent="0.25">
      <c r="A1617">
        <v>21400964</v>
      </c>
      <c r="B1617" t="s">
        <v>4</v>
      </c>
      <c r="C1617" t="s">
        <v>5</v>
      </c>
      <c r="D1617">
        <v>97</v>
      </c>
      <c r="E1617">
        <v>90</v>
      </c>
      <c r="F1617">
        <v>7</v>
      </c>
      <c r="G1617">
        <v>4</v>
      </c>
      <c r="H1617" s="1">
        <v>4.4444444444444444E-3</v>
      </c>
      <c r="I1617">
        <v>2014</v>
      </c>
      <c r="J1617" t="s">
        <v>7</v>
      </c>
      <c r="K1617" s="2" t="str">
        <f>HYPERLINK("https://www.nba.com/stats/events?CFID=&amp;CFPARAMS=&amp;GameEventID=426&amp;GameID=0021400964&amp;Season=2014-15&amp;flag=1&amp;title=Duncan%201'%20Layup%20(14%20PTS)%20(Leonard%204%20AST)", "Duncan 1' Layup (14 PTS) (Leonard 4 AST)")</f>
        <v>Duncan 1' Layup (14 PTS) (Leonard 4 AST)</v>
      </c>
      <c r="L1617" s="2" t="str">
        <f>HYPERLINK("https://www.nba.com/game/...-vs-...-0021400964/play-by-play?watchFullGame=true", "SAS vs CLE - Q4 06:24.00")</f>
        <v>SAS vs CLE - Q4 06:24.00</v>
      </c>
      <c r="M1617">
        <v>1</v>
      </c>
      <c r="N1617">
        <v>12</v>
      </c>
      <c r="O1617">
        <v>0</v>
      </c>
      <c r="P1617">
        <v>12</v>
      </c>
      <c r="Q1617">
        <v>0</v>
      </c>
      <c r="R1617" t="s">
        <v>0</v>
      </c>
      <c r="S1617" t="s">
        <v>0</v>
      </c>
      <c r="T1617" t="s">
        <v>0</v>
      </c>
    </row>
    <row r="1618" spans="1:20" x14ac:dyDescent="0.25">
      <c r="A1618">
        <v>21401039</v>
      </c>
      <c r="B1618" t="s">
        <v>10</v>
      </c>
      <c r="C1618" t="s">
        <v>9</v>
      </c>
      <c r="D1618">
        <v>7</v>
      </c>
      <c r="E1618">
        <v>2</v>
      </c>
      <c r="F1618">
        <v>5</v>
      </c>
      <c r="G1618">
        <v>1</v>
      </c>
      <c r="H1618" s="1">
        <v>5.9837962962962961E-3</v>
      </c>
      <c r="I1618">
        <v>2014</v>
      </c>
      <c r="J1618" t="s">
        <v>7</v>
      </c>
      <c r="K1618" s="2" t="str">
        <f>HYPERLINK("https://www.nba.com/stats/events?CFID=&amp;CFPARAMS=&amp;GameEventID=21&amp;GameID=0021401039&amp;Season=2014-15&amp;flag=1&amp;title=Green%20%203PT%20Jump%20Shot%20(3%20PTS)%20(Leonard%201%20AST)", "Green  3PT Jump Shot (3 PTS) (Leonard 1 AST)")</f>
        <v>Green  3PT Jump Shot (3 PTS) (Leonard 1 AST)</v>
      </c>
      <c r="L1618" s="2" t="str">
        <f>HYPERLINK("https://www.nba.com/game/...-vs-...-0021401039/play-by-play?watchFullGame=true", "SAS vs ATL - Q1 08:37.00")</f>
        <v>SAS vs ATL - Q1 08:37.00</v>
      </c>
      <c r="M1618">
        <v>0</v>
      </c>
      <c r="N1618">
        <v>225</v>
      </c>
      <c r="O1618">
        <v>28</v>
      </c>
      <c r="P1618">
        <v>225</v>
      </c>
      <c r="Q1618">
        <v>28</v>
      </c>
      <c r="R1618" t="s">
        <v>0</v>
      </c>
      <c r="S1618" t="s">
        <v>0</v>
      </c>
      <c r="T1618" t="s">
        <v>0</v>
      </c>
    </row>
    <row r="1619" spans="1:20" x14ac:dyDescent="0.25">
      <c r="A1619">
        <v>21401057</v>
      </c>
      <c r="B1619" t="s">
        <v>10</v>
      </c>
      <c r="C1619" t="s">
        <v>9</v>
      </c>
      <c r="D1619">
        <v>90</v>
      </c>
      <c r="E1619">
        <v>97</v>
      </c>
      <c r="F1619">
        <v>7</v>
      </c>
      <c r="G1619">
        <v>4</v>
      </c>
      <c r="H1619" s="1">
        <v>1.1921296296296296E-3</v>
      </c>
      <c r="I1619">
        <v>2014</v>
      </c>
      <c r="J1619" t="s">
        <v>7</v>
      </c>
      <c r="K1619" s="2" t="str">
        <f>HYPERLINK("https://www.nba.com/stats/events?CFID=&amp;CFPARAMS=&amp;GameEventID=502&amp;GameID=0021401057&amp;Season=2014-15&amp;flag=1&amp;title=Green%20%203PT%20Jump%20Shot%20(17%20PTS)%20(Leonard%203%20AST)", "Green  3PT Jump Shot (17 PTS) (Leonard 3 AST)")</f>
        <v>Green  3PT Jump Shot (17 PTS) (Leonard 3 AST)</v>
      </c>
      <c r="L1619" s="2" t="str">
        <f>HYPERLINK("https://www.nba.com/game/...-vs-...-0021401057/play-by-play?watchFullGame=true", "SAS vs DAL - Q4 01:43.00")</f>
        <v>SAS vs DAL - Q4 01:43.00</v>
      </c>
      <c r="M1619">
        <v>0</v>
      </c>
      <c r="N1619">
        <v>-223</v>
      </c>
      <c r="O1619">
        <v>6</v>
      </c>
      <c r="P1619">
        <v>-223</v>
      </c>
      <c r="Q1619">
        <v>6</v>
      </c>
      <c r="R1619" t="s">
        <v>0</v>
      </c>
      <c r="S1619" t="s">
        <v>0</v>
      </c>
      <c r="T1619" t="s">
        <v>0</v>
      </c>
    </row>
    <row r="1620" spans="1:20" x14ac:dyDescent="0.25">
      <c r="A1620">
        <v>21500015</v>
      </c>
      <c r="B1620" t="s">
        <v>4</v>
      </c>
      <c r="C1620" t="s">
        <v>37</v>
      </c>
      <c r="D1620">
        <v>77</v>
      </c>
      <c r="E1620">
        <v>50</v>
      </c>
      <c r="F1620">
        <v>27</v>
      </c>
      <c r="G1620">
        <v>3</v>
      </c>
      <c r="H1620" s="1">
        <v>5.347222222222222E-3</v>
      </c>
      <c r="I1620">
        <v>2015</v>
      </c>
      <c r="J1620" t="s">
        <v>12</v>
      </c>
      <c r="K1620" s="2" t="str">
        <f>HYPERLINK("https://www.nba.com/stats/events?CFID=&amp;CFPARAMS=&amp;GameEventID=357&amp;GameID=0021500015&amp;Season=2015-16&amp;flag=1&amp;title=Aminu%20%20Driving%20Dunk%20(9%20PTS)%20(Leonard%203%20AST)", "Aminu  Driving Dunk (9 PTS) (Leonard 3 AST)")</f>
        <v>Aminu  Driving Dunk (9 PTS) (Leonard 3 AST)</v>
      </c>
      <c r="L1620" s="2" t="str">
        <f>HYPERLINK("https://www.nba.com/game/...-vs-...-0021500015/play-by-play?watchFullGame=true", "POR vs NOP - Q3 07:42.00")</f>
        <v>POR vs NOP - Q3 07:42.00</v>
      </c>
      <c r="M1620">
        <v>0</v>
      </c>
      <c r="N1620">
        <v>0</v>
      </c>
      <c r="O1620">
        <v>1</v>
      </c>
      <c r="P1620">
        <v>0</v>
      </c>
      <c r="Q1620">
        <v>1</v>
      </c>
      <c r="R1620" t="s">
        <v>0</v>
      </c>
      <c r="S1620" t="s">
        <v>0</v>
      </c>
      <c r="T1620" t="s">
        <v>0</v>
      </c>
    </row>
    <row r="1621" spans="1:20" x14ac:dyDescent="0.25">
      <c r="A1621">
        <v>21500103</v>
      </c>
      <c r="B1621" t="s">
        <v>10</v>
      </c>
      <c r="C1621" t="s">
        <v>9</v>
      </c>
      <c r="D1621">
        <v>8</v>
      </c>
      <c r="E1621">
        <v>4</v>
      </c>
      <c r="F1621">
        <v>4</v>
      </c>
      <c r="G1621">
        <v>1</v>
      </c>
      <c r="H1621" s="1">
        <v>6.8171296296296296E-3</v>
      </c>
      <c r="I1621">
        <v>2015</v>
      </c>
      <c r="J1621" t="s">
        <v>7</v>
      </c>
      <c r="K1621" s="2" t="str">
        <f>HYPERLINK("https://www.nba.com/stats/events?CFID=&amp;CFPARAMS=&amp;GameEventID=20&amp;GameID=0021500103&amp;Season=2015-16&amp;flag=1&amp;title=Green%2024'%203PT%20Jump%20Shot%20(3%20PTS)%20(Leonard%201%20AST)", "Green 24' 3PT Jump Shot (3 PTS) (Leonard 1 AST)")</f>
        <v>Green 24' 3PT Jump Shot (3 PTS) (Leonard 1 AST)</v>
      </c>
      <c r="L1621" s="2" t="str">
        <f>HYPERLINK("https://www.nba.com/game/...-vs-...-0021500103/play-by-play?watchFullGame=true", "SAS vs SAC - Q1 09:49.00")</f>
        <v>SAS vs SAC - Q1 09:49.00</v>
      </c>
      <c r="M1621">
        <v>24</v>
      </c>
      <c r="N1621">
        <v>-237</v>
      </c>
      <c r="O1621">
        <v>38</v>
      </c>
      <c r="P1621">
        <v>-237</v>
      </c>
      <c r="Q1621">
        <v>38</v>
      </c>
      <c r="R1621" t="s">
        <v>0</v>
      </c>
      <c r="S1621" t="s">
        <v>0</v>
      </c>
      <c r="T1621" t="s">
        <v>0</v>
      </c>
    </row>
    <row r="1622" spans="1:20" x14ac:dyDescent="0.25">
      <c r="A1622">
        <v>21500235</v>
      </c>
      <c r="B1622" t="s">
        <v>10</v>
      </c>
      <c r="C1622" t="s">
        <v>9</v>
      </c>
      <c r="D1622">
        <v>83</v>
      </c>
      <c r="E1622">
        <v>65</v>
      </c>
      <c r="F1622">
        <v>18</v>
      </c>
      <c r="G1622">
        <v>4</v>
      </c>
      <c r="H1622" s="1">
        <v>5.208333333333333E-3</v>
      </c>
      <c r="I1622">
        <v>2015</v>
      </c>
      <c r="J1622" t="s">
        <v>7</v>
      </c>
      <c r="K1622" s="2" t="str">
        <f>HYPERLINK("https://www.nba.com/stats/events?CFID=&amp;CFPARAMS=&amp;GameEventID=422&amp;GameID=0021500235&amp;Season=2015-16&amp;flag=1&amp;title=Simmons%2025'%203PT%20Jump%20Shot%20(10%20PTS)%20(Leonard%206%20AST)", "Simmons 25' 3PT Jump Shot (10 PTS) (Leonard 6 AST)")</f>
        <v>Simmons 25' 3PT Jump Shot (10 PTS) (Leonard 6 AST)</v>
      </c>
      <c r="L1622" s="2" t="str">
        <f>HYPERLINK("https://www.nba.com/game/...-vs-...-0021500235/play-by-play?watchFullGame=true", "SAS vs DEN - Q4 07:30.00")</f>
        <v>SAS vs DEN - Q4 07:30.00</v>
      </c>
      <c r="M1622">
        <v>25</v>
      </c>
      <c r="N1622">
        <v>-181</v>
      </c>
      <c r="O1622">
        <v>169</v>
      </c>
      <c r="P1622">
        <v>-181</v>
      </c>
      <c r="Q1622">
        <v>169</v>
      </c>
      <c r="R1622" t="s">
        <v>0</v>
      </c>
      <c r="S1622" t="s">
        <v>0</v>
      </c>
      <c r="T1622" t="s">
        <v>0</v>
      </c>
    </row>
    <row r="1623" spans="1:20" x14ac:dyDescent="0.25">
      <c r="A1623">
        <v>21500352</v>
      </c>
      <c r="B1623" t="s">
        <v>4</v>
      </c>
      <c r="C1623" t="s">
        <v>9</v>
      </c>
      <c r="D1623">
        <v>35</v>
      </c>
      <c r="E1623">
        <v>30</v>
      </c>
      <c r="F1623">
        <v>5</v>
      </c>
      <c r="G1623">
        <v>2</v>
      </c>
      <c r="H1623" s="1">
        <v>5.9953703703703705E-3</v>
      </c>
      <c r="I1623">
        <v>2015</v>
      </c>
      <c r="J1623" t="s">
        <v>12</v>
      </c>
      <c r="K1623" s="2" t="str">
        <f>HYPERLINK("https://www.nba.com/stats/events?CFID=&amp;CFPARAMS=&amp;GameEventID=147&amp;GameID=0021500352&amp;Season=2015-16&amp;flag=1&amp;title=Crabbe%2019'%20Jump%20Shot%20(4%20PTS)%20(Leonard%202%20AST)", "Crabbe 19' Jump Shot (4 PTS) (Leonard 2 AST)")</f>
        <v>Crabbe 19' Jump Shot (4 PTS) (Leonard 2 AST)</v>
      </c>
      <c r="L1623" s="2" t="str">
        <f>HYPERLINK("https://www.nba.com/game/...-vs-...-0021500352/play-by-play?watchFullGame=true", "POR vs NYK - Q2 08:38.00")</f>
        <v>POR vs NYK - Q2 08:38.00</v>
      </c>
      <c r="M1623">
        <v>19</v>
      </c>
      <c r="N1623">
        <v>184</v>
      </c>
      <c r="O1623">
        <v>57</v>
      </c>
      <c r="P1623">
        <v>184</v>
      </c>
      <c r="Q1623">
        <v>57</v>
      </c>
      <c r="R1623" t="s">
        <v>0</v>
      </c>
      <c r="S1623" t="s">
        <v>0</v>
      </c>
      <c r="T1623" t="s">
        <v>0</v>
      </c>
    </row>
    <row r="1624" spans="1:20" x14ac:dyDescent="0.25">
      <c r="A1624">
        <v>21500352</v>
      </c>
      <c r="B1624" t="s">
        <v>4</v>
      </c>
      <c r="C1624" t="s">
        <v>19</v>
      </c>
      <c r="D1624">
        <v>31</v>
      </c>
      <c r="E1624">
        <v>23</v>
      </c>
      <c r="F1624">
        <v>8</v>
      </c>
      <c r="G1624">
        <v>2</v>
      </c>
      <c r="H1624" s="1">
        <v>7.8472222222222224E-3</v>
      </c>
      <c r="I1624">
        <v>2015</v>
      </c>
      <c r="J1624" t="s">
        <v>12</v>
      </c>
      <c r="K1624" s="2" t="str">
        <f>HYPERLINK("https://www.nba.com/stats/events?CFID=&amp;CFPARAMS=&amp;GameEventID=124&amp;GameID=0021500352&amp;Season=2015-16&amp;flag=1&amp;title=McCollum%2018'%20Pullup%20Jump%20Shot%20(9%20PTS)%20(Leonard%201%20AST)", "McCollum 18' Pullup Jump Shot (9 PTS) (Leonard 1 AST)")</f>
        <v>McCollum 18' Pullup Jump Shot (9 PTS) (Leonard 1 AST)</v>
      </c>
      <c r="L1624" s="2" t="str">
        <f>HYPERLINK("https://www.nba.com/game/...-vs-...-0021500352/play-by-play?watchFullGame=true", "POR vs NYK - Q2 11:18.00")</f>
        <v>POR vs NYK - Q2 11:18.00</v>
      </c>
      <c r="M1624">
        <v>18</v>
      </c>
      <c r="N1624">
        <v>-119</v>
      </c>
      <c r="O1624">
        <v>129</v>
      </c>
      <c r="P1624">
        <v>-119</v>
      </c>
      <c r="Q1624">
        <v>129</v>
      </c>
      <c r="R1624" t="s">
        <v>0</v>
      </c>
      <c r="S1624" t="s">
        <v>0</v>
      </c>
      <c r="T1624" t="s">
        <v>0</v>
      </c>
    </row>
    <row r="1625" spans="1:20" x14ac:dyDescent="0.25">
      <c r="A1625">
        <v>21400089</v>
      </c>
      <c r="B1625" t="s">
        <v>4</v>
      </c>
      <c r="C1625" t="s">
        <v>9</v>
      </c>
      <c r="D1625">
        <v>84</v>
      </c>
      <c r="E1625">
        <v>92</v>
      </c>
      <c r="F1625">
        <v>8</v>
      </c>
      <c r="G1625">
        <v>4</v>
      </c>
      <c r="H1625" s="1">
        <v>4.2708333333333331E-3</v>
      </c>
      <c r="I1625">
        <v>2014</v>
      </c>
      <c r="J1625" t="s">
        <v>7</v>
      </c>
      <c r="K1625" s="2" t="str">
        <f>HYPERLINK("https://www.nba.com/stats/events?CFID=&amp;CFPARAMS=&amp;GameEventID=452&amp;GameID=0021400089&amp;Season=2014-15&amp;flag=1&amp;title=Ginobili%2011'%20Jump%20Shot%20(17%20PTS)%20(Leonard%203%20AST)", "Ginobili 11' Jump Shot (17 PTS) (Leonard 3 AST)")</f>
        <v>Ginobili 11' Jump Shot (17 PTS) (Leonard 3 AST)</v>
      </c>
      <c r="L1625" s="2" t="str">
        <f>HYPERLINK("https://www.nba.com/game/...-vs-...-0021400089/play-by-play?watchFullGame=true", "SAS vs NOP - Q4 06:09.00")</f>
        <v>SAS vs NOP - Q4 06:09.00</v>
      </c>
      <c r="M1625">
        <v>11</v>
      </c>
      <c r="N1625">
        <v>10</v>
      </c>
      <c r="O1625">
        <v>105</v>
      </c>
      <c r="P1625">
        <v>10</v>
      </c>
      <c r="Q1625">
        <v>105</v>
      </c>
      <c r="R1625" t="s">
        <v>0</v>
      </c>
      <c r="S1625" t="s">
        <v>0</v>
      </c>
      <c r="T1625" t="s">
        <v>0</v>
      </c>
    </row>
    <row r="1626" spans="1:20" x14ac:dyDescent="0.25">
      <c r="A1626">
        <v>21400102</v>
      </c>
      <c r="B1626" t="s">
        <v>4</v>
      </c>
      <c r="C1626" t="s">
        <v>5</v>
      </c>
      <c r="D1626">
        <v>87</v>
      </c>
      <c r="E1626">
        <v>82</v>
      </c>
      <c r="F1626">
        <v>5</v>
      </c>
      <c r="G1626">
        <v>4</v>
      </c>
      <c r="H1626" s="1">
        <v>3.7962962962962961E-4</v>
      </c>
      <c r="I1626">
        <v>2014</v>
      </c>
      <c r="J1626" t="s">
        <v>7</v>
      </c>
      <c r="K1626" s="2" t="str">
        <f>HYPERLINK("https://www.nba.com/stats/events?CFID=&amp;CFPARAMS=&amp;GameEventID=505&amp;GameID=0021400102&amp;Season=2014-15&amp;flag=1&amp;title=Ginobili%202'%20Layup%20(10%20PTS)%20(Leonard%203%20AST)", "Ginobili 2' Layup (10 PTS) (Leonard 3 AST)")</f>
        <v>Ginobili 2' Layup (10 PTS) (Leonard 3 AST)</v>
      </c>
      <c r="L1626" s="2" t="str">
        <f>HYPERLINK("https://www.nba.com/game/...-vs-...-0021400102/play-by-play?watchFullGame=true", "SAS vs LAC - Q4 00:32.80")</f>
        <v>SAS vs LAC - Q4 00:32.80</v>
      </c>
      <c r="M1626">
        <v>2</v>
      </c>
      <c r="N1626">
        <v>-15</v>
      </c>
      <c r="O1626">
        <v>11</v>
      </c>
      <c r="P1626">
        <v>-15</v>
      </c>
      <c r="Q1626">
        <v>11</v>
      </c>
      <c r="R1626" t="s">
        <v>0</v>
      </c>
      <c r="S1626" t="s">
        <v>0</v>
      </c>
      <c r="T1626" t="s">
        <v>0</v>
      </c>
    </row>
    <row r="1627" spans="1:20" x14ac:dyDescent="0.25">
      <c r="A1627">
        <v>21400108</v>
      </c>
      <c r="B1627" t="s">
        <v>4</v>
      </c>
      <c r="C1627" t="s">
        <v>9</v>
      </c>
      <c r="D1627">
        <v>10</v>
      </c>
      <c r="E1627">
        <v>8</v>
      </c>
      <c r="F1627">
        <v>2</v>
      </c>
      <c r="G1627">
        <v>1</v>
      </c>
      <c r="H1627" s="1">
        <v>5.2777777777777779E-3</v>
      </c>
      <c r="I1627">
        <v>2014</v>
      </c>
      <c r="J1627" t="s">
        <v>7</v>
      </c>
      <c r="K1627" s="2" t="str">
        <f>HYPERLINK("https://www.nba.com/stats/events?CFID=&amp;CFPARAMS=&amp;GameEventID=36&amp;GameID=0021400108&amp;Season=2014-15&amp;flag=1&amp;title=Duncan%2018'%20Jump%20Shot%20(2%20PTS)%20(Leonard%201%20AST)", "Duncan 18' Jump Shot (2 PTS) (Leonard 1 AST)")</f>
        <v>Duncan 18' Jump Shot (2 PTS) (Leonard 1 AST)</v>
      </c>
      <c r="L1627" s="2" t="str">
        <f>HYPERLINK("https://www.nba.com/game/...-vs-...-0021400108/play-by-play?watchFullGame=true", "SAS vs GSW - Q1 07:36.00")</f>
        <v>SAS vs GSW - Q1 07:36.00</v>
      </c>
      <c r="M1627">
        <v>18</v>
      </c>
      <c r="N1627">
        <v>-128</v>
      </c>
      <c r="O1627">
        <v>124</v>
      </c>
      <c r="P1627">
        <v>-128</v>
      </c>
      <c r="Q1627">
        <v>124</v>
      </c>
      <c r="R1627" t="s">
        <v>0</v>
      </c>
      <c r="S1627" t="s">
        <v>0</v>
      </c>
      <c r="T1627" t="s">
        <v>0</v>
      </c>
    </row>
    <row r="1628" spans="1:20" x14ac:dyDescent="0.25">
      <c r="A1628">
        <v>21400139</v>
      </c>
      <c r="B1628" t="s">
        <v>4</v>
      </c>
      <c r="C1628" t="s">
        <v>9</v>
      </c>
      <c r="D1628">
        <v>10</v>
      </c>
      <c r="E1628">
        <v>14</v>
      </c>
      <c r="F1628">
        <v>4</v>
      </c>
      <c r="G1628">
        <v>1</v>
      </c>
      <c r="H1628" s="1">
        <v>4.0046296296296297E-3</v>
      </c>
      <c r="I1628">
        <v>2014</v>
      </c>
      <c r="J1628" t="s">
        <v>7</v>
      </c>
      <c r="K1628" s="2" t="str">
        <f>HYPERLINK("https://www.nba.com/stats/events?CFID=&amp;CFPARAMS=&amp;GameEventID=51&amp;GameID=0021400139&amp;Season=2014-15&amp;flag=1&amp;title=Duncan%2018'%20Jump%20Shot%20(4%20PTS)%20(Leonard%201%20AST)", "Duncan 18' Jump Shot (4 PTS) (Leonard 1 AST)")</f>
        <v>Duncan 18' Jump Shot (4 PTS) (Leonard 1 AST)</v>
      </c>
      <c r="L1628" s="2" t="str">
        <f>HYPERLINK("https://www.nba.com/game/...-vs-...-0021400139/play-by-play?watchFullGame=true", "SAS vs SAC - Q1 05:46.00")</f>
        <v>SAS vs SAC - Q1 05:46.00</v>
      </c>
      <c r="M1628">
        <v>18</v>
      </c>
      <c r="N1628">
        <v>37</v>
      </c>
      <c r="O1628">
        <v>176</v>
      </c>
      <c r="P1628">
        <v>37</v>
      </c>
      <c r="Q1628">
        <v>176</v>
      </c>
      <c r="R1628" t="s">
        <v>0</v>
      </c>
      <c r="S1628" t="s">
        <v>0</v>
      </c>
      <c r="T1628" t="s">
        <v>0</v>
      </c>
    </row>
    <row r="1629" spans="1:20" x14ac:dyDescent="0.25">
      <c r="A1629">
        <v>21400159</v>
      </c>
      <c r="B1629" t="s">
        <v>4</v>
      </c>
      <c r="C1629" t="s">
        <v>5</v>
      </c>
      <c r="D1629">
        <v>44</v>
      </c>
      <c r="E1629">
        <v>47</v>
      </c>
      <c r="F1629">
        <v>3</v>
      </c>
      <c r="G1629">
        <v>2</v>
      </c>
      <c r="H1629" s="1">
        <v>6.8287037037037044E-5</v>
      </c>
      <c r="I1629">
        <v>2014</v>
      </c>
      <c r="J1629" t="s">
        <v>7</v>
      </c>
      <c r="K1629" s="2" t="str">
        <f>HYPERLINK("https://www.nba.com/stats/events?CFID=&amp;CFPARAMS=&amp;GameEventID=242&amp;GameID=0021400159&amp;Season=2014-15&amp;flag=1&amp;title=Ginobili%201'%20Layup%20(2%20PTS)%20(Leonard%203%20AST)", "Ginobili 1' Layup (2 PTS) (Leonard 3 AST)")</f>
        <v>Ginobili 1' Layup (2 PTS) (Leonard 3 AST)</v>
      </c>
      <c r="L1629" s="2" t="str">
        <f>HYPERLINK("https://www.nba.com/game/...-vs-...-0021400159/play-by-play?watchFullGame=true", "SAS vs CLE - Q2 00:05.90")</f>
        <v>SAS vs CLE - Q2 00:05.90</v>
      </c>
      <c r="M1629">
        <v>1</v>
      </c>
      <c r="N1629">
        <v>1</v>
      </c>
      <c r="O1629">
        <v>-8</v>
      </c>
      <c r="P1629">
        <v>1</v>
      </c>
      <c r="Q1629">
        <v>-8</v>
      </c>
      <c r="R1629" t="s">
        <v>0</v>
      </c>
      <c r="S1629" t="s">
        <v>0</v>
      </c>
      <c r="T1629" t="s">
        <v>0</v>
      </c>
    </row>
    <row r="1630" spans="1:20" x14ac:dyDescent="0.25">
      <c r="A1630">
        <v>21400668</v>
      </c>
      <c r="B1630" t="s">
        <v>4</v>
      </c>
      <c r="C1630" t="s">
        <v>9</v>
      </c>
      <c r="D1630">
        <v>51</v>
      </c>
      <c r="E1630">
        <v>66</v>
      </c>
      <c r="F1630">
        <v>15</v>
      </c>
      <c r="G1630">
        <v>3</v>
      </c>
      <c r="H1630" s="1">
        <v>4.3287037037037035E-3</v>
      </c>
      <c r="I1630">
        <v>2014</v>
      </c>
      <c r="J1630" t="s">
        <v>12</v>
      </c>
      <c r="K1630" s="2" t="str">
        <f>HYPERLINK("https://www.nba.com/stats/events?CFID=&amp;CFPARAMS=&amp;GameEventID=301&amp;GameID=0021400668&amp;Season=2014-15&amp;flag=1&amp;title=Lopez%2013'%20Jump%20Shot%20(4%20PTS)%20(Leonard%204%20AST)", "Lopez 13' Jump Shot (4 PTS) (Leonard 4 AST)")</f>
        <v>Lopez 13' Jump Shot (4 PTS) (Leonard 4 AST)</v>
      </c>
      <c r="L1630" s="2" t="str">
        <f>HYPERLINK("https://www.nba.com/game/...-vs-...-0021400668/play-by-play?watchFullGame=true", "POR vs BKN - Q3 06:14.00")</f>
        <v>POR vs BKN - Q3 06:14.00</v>
      </c>
      <c r="M1630">
        <v>13</v>
      </c>
      <c r="N1630">
        <v>122</v>
      </c>
      <c r="O1630">
        <v>45</v>
      </c>
      <c r="P1630">
        <v>122</v>
      </c>
      <c r="Q1630">
        <v>45</v>
      </c>
      <c r="R1630" t="s">
        <v>0</v>
      </c>
      <c r="S1630" t="s">
        <v>0</v>
      </c>
      <c r="T1630" t="s">
        <v>0</v>
      </c>
    </row>
    <row r="1631" spans="1:20" x14ac:dyDescent="0.25">
      <c r="A1631">
        <v>21400668</v>
      </c>
      <c r="B1631" t="s">
        <v>10</v>
      </c>
      <c r="C1631" t="s">
        <v>9</v>
      </c>
      <c r="D1631">
        <v>30</v>
      </c>
      <c r="E1631">
        <v>27</v>
      </c>
      <c r="F1631">
        <v>3</v>
      </c>
      <c r="G1631">
        <v>2</v>
      </c>
      <c r="H1631" s="1">
        <v>6.8055555555555551E-3</v>
      </c>
      <c r="I1631">
        <v>2014</v>
      </c>
      <c r="J1631" t="s">
        <v>12</v>
      </c>
      <c r="K1631" s="2" t="str">
        <f>HYPERLINK("https://www.nba.com/stats/events?CFID=&amp;CFPARAMS=&amp;GameEventID=148&amp;GameID=0021400668&amp;Season=2014-15&amp;flag=1&amp;title=McCollum%2025'%203PT%20Jump%20Shot%20(11%20PTS)%20(Leonard%201%20AST)", "McCollum 25' 3PT Jump Shot (11 PTS) (Leonard 1 AST)")</f>
        <v>McCollum 25' 3PT Jump Shot (11 PTS) (Leonard 1 AST)</v>
      </c>
      <c r="L1631" s="2" t="str">
        <f>HYPERLINK("https://www.nba.com/game/...-vs-...-0021400668/play-by-play?watchFullGame=true", "POR vs BKN - Q2 09:48.00")</f>
        <v>POR vs BKN - Q2 09:48.00</v>
      </c>
      <c r="M1631">
        <v>25</v>
      </c>
      <c r="N1631">
        <v>192</v>
      </c>
      <c r="O1631">
        <v>160</v>
      </c>
      <c r="P1631">
        <v>192</v>
      </c>
      <c r="Q1631">
        <v>160</v>
      </c>
      <c r="R1631" t="s">
        <v>0</v>
      </c>
      <c r="S1631" t="s">
        <v>0</v>
      </c>
      <c r="T1631" t="s">
        <v>0</v>
      </c>
    </row>
    <row r="1632" spans="1:20" x14ac:dyDescent="0.25">
      <c r="A1632">
        <v>21400757</v>
      </c>
      <c r="B1632" t="s">
        <v>10</v>
      </c>
      <c r="C1632" t="s">
        <v>9</v>
      </c>
      <c r="D1632">
        <v>70</v>
      </c>
      <c r="E1632">
        <v>55</v>
      </c>
      <c r="F1632">
        <v>15</v>
      </c>
      <c r="G1632">
        <v>3</v>
      </c>
      <c r="H1632" s="1">
        <v>2.650462962962963E-3</v>
      </c>
      <c r="I1632">
        <v>2014</v>
      </c>
      <c r="J1632" t="s">
        <v>7</v>
      </c>
      <c r="K1632" s="2" t="str">
        <f>HYPERLINK("https://www.nba.com/stats/events?CFID=&amp;CFPARAMS=&amp;GameEventID=284&amp;GameID=0021400757&amp;Season=2014-15&amp;flag=1&amp;title=Parker%2024'%203PT%20Jump%20Shot%20(21%20PTS)%20(Leonard%204%20AST)", "Parker 24' 3PT Jump Shot (21 PTS) (Leonard 4 AST)")</f>
        <v>Parker 24' 3PT Jump Shot (21 PTS) (Leonard 4 AST)</v>
      </c>
      <c r="L1632" s="2" t="str">
        <f>HYPERLINK("https://www.nba.com/game/...-vs-...-0021400757/play-by-play?watchFullGame=true", "SAS vs MIA - Q3 03:49.00")</f>
        <v>SAS vs MIA - Q3 03:49.00</v>
      </c>
      <c r="M1632">
        <v>24</v>
      </c>
      <c r="N1632">
        <v>239</v>
      </c>
      <c r="O1632">
        <v>23</v>
      </c>
      <c r="P1632">
        <v>239</v>
      </c>
      <c r="Q1632">
        <v>23</v>
      </c>
      <c r="R1632" t="s">
        <v>0</v>
      </c>
      <c r="S1632" t="s">
        <v>0</v>
      </c>
      <c r="T1632" t="s">
        <v>0</v>
      </c>
    </row>
    <row r="1633" spans="1:20" x14ac:dyDescent="0.25">
      <c r="A1633">
        <v>21500090</v>
      </c>
      <c r="B1633" t="s">
        <v>4</v>
      </c>
      <c r="C1633" t="s">
        <v>19</v>
      </c>
      <c r="D1633">
        <v>42</v>
      </c>
      <c r="E1633">
        <v>30</v>
      </c>
      <c r="F1633">
        <v>12</v>
      </c>
      <c r="G1633">
        <v>2</v>
      </c>
      <c r="H1633" s="1">
        <v>4.6180555555555558E-3</v>
      </c>
      <c r="I1633">
        <v>2015</v>
      </c>
      <c r="J1633" t="s">
        <v>7</v>
      </c>
      <c r="K1633" s="2" t="str">
        <f>HYPERLINK("https://www.nba.com/stats/events?CFID=&amp;CFPARAMS=&amp;GameEventID=188&amp;GameID=0021500090&amp;Season=2015-16&amp;flag=1&amp;title=Aldridge%209'%20Pullup%20Jump%20Shot%20(9%20PTS)%20(Leonard%201%20AST)", "Aldridge 9' Pullup Jump Shot (9 PTS) (Leonard 1 AST)")</f>
        <v>Aldridge 9' Pullup Jump Shot (9 PTS) (Leonard 1 AST)</v>
      </c>
      <c r="L1633" s="2" t="str">
        <f>HYPERLINK("https://www.nba.com/game/...-vs-...-0021500090/play-by-play?watchFullGame=true", "SAS vs CHA - Q2 06:39.00")</f>
        <v>SAS vs CHA - Q2 06:39.00</v>
      </c>
      <c r="M1633">
        <v>9</v>
      </c>
      <c r="N1633">
        <v>74</v>
      </c>
      <c r="O1633">
        <v>43</v>
      </c>
      <c r="P1633">
        <v>74</v>
      </c>
      <c r="Q1633">
        <v>43</v>
      </c>
      <c r="R1633" t="s">
        <v>0</v>
      </c>
      <c r="S1633" t="s">
        <v>0</v>
      </c>
      <c r="T1633" t="s">
        <v>0</v>
      </c>
    </row>
    <row r="1634" spans="1:20" x14ac:dyDescent="0.25">
      <c r="A1634">
        <v>21500102</v>
      </c>
      <c r="B1634" t="s">
        <v>4</v>
      </c>
      <c r="C1634" t="s">
        <v>9</v>
      </c>
      <c r="D1634">
        <v>74</v>
      </c>
      <c r="E1634">
        <v>79</v>
      </c>
      <c r="F1634">
        <v>5</v>
      </c>
      <c r="G1634">
        <v>3</v>
      </c>
      <c r="H1634" s="1">
        <v>1.25E-3</v>
      </c>
      <c r="I1634">
        <v>2015</v>
      </c>
      <c r="J1634" t="s">
        <v>12</v>
      </c>
      <c r="K1634" s="2" t="str">
        <f>HYPERLINK("https://www.nba.com/stats/events?CFID=&amp;CFPARAMS=&amp;GameEventID=403&amp;GameID=0021500102&amp;Season=2015-16&amp;flag=1&amp;title=Crabbe%2010'%20Jump%20Shot%20(11%20PTS)%20(Leonard%204%20AST)", "Crabbe 10' Jump Shot (11 PTS) (Leonard 4 AST)")</f>
        <v>Crabbe 10' Jump Shot (11 PTS) (Leonard 4 AST)</v>
      </c>
      <c r="L1634" s="2" t="str">
        <f>HYPERLINK("https://www.nba.com/game/...-vs-...-0021500102/play-by-play?watchFullGame=true", "POR vs DEN - Q3 01:48.00")</f>
        <v>POR vs DEN - Q3 01:48.00</v>
      </c>
      <c r="M1634">
        <v>10</v>
      </c>
      <c r="N1634">
        <v>0</v>
      </c>
      <c r="O1634">
        <v>100</v>
      </c>
      <c r="P1634">
        <v>0</v>
      </c>
      <c r="Q1634">
        <v>100</v>
      </c>
      <c r="R1634" t="s">
        <v>0</v>
      </c>
      <c r="S1634" t="s">
        <v>0</v>
      </c>
      <c r="T1634" t="s">
        <v>0</v>
      </c>
    </row>
    <row r="1635" spans="1:20" x14ac:dyDescent="0.25">
      <c r="A1635">
        <v>21500235</v>
      </c>
      <c r="B1635" t="s">
        <v>4</v>
      </c>
      <c r="C1635" t="s">
        <v>20</v>
      </c>
      <c r="D1635">
        <v>58</v>
      </c>
      <c r="E1635">
        <v>54</v>
      </c>
      <c r="F1635">
        <v>4</v>
      </c>
      <c r="G1635">
        <v>3</v>
      </c>
      <c r="H1635" s="1">
        <v>3.1365740740740742E-3</v>
      </c>
      <c r="I1635">
        <v>2015</v>
      </c>
      <c r="J1635" t="s">
        <v>7</v>
      </c>
      <c r="K1635" s="2" t="str">
        <f>HYPERLINK("https://www.nba.com/stats/events?CFID=&amp;CFPARAMS=&amp;GameEventID=318&amp;GameID=0021500235&amp;Season=2015-16&amp;flag=1&amp;title=Simmons%203'%20Cutting%20Layup%20Shot%20(4%20PTS)%20(Leonard%204%20AST)", "Simmons 3' Cutting Layup Shot (4 PTS) (Leonard 4 AST)")</f>
        <v>Simmons 3' Cutting Layup Shot (4 PTS) (Leonard 4 AST)</v>
      </c>
      <c r="L1635" s="2" t="str">
        <f>HYPERLINK("https://www.nba.com/game/...-vs-...-0021500235/play-by-play?watchFullGame=true", "SAS vs DEN - Q3 04:31.00")</f>
        <v>SAS vs DEN - Q3 04:31.00</v>
      </c>
      <c r="M1635">
        <v>3</v>
      </c>
      <c r="N1635">
        <v>-4</v>
      </c>
      <c r="O1635">
        <v>28</v>
      </c>
      <c r="P1635">
        <v>-4</v>
      </c>
      <c r="Q1635">
        <v>28</v>
      </c>
      <c r="R1635" t="s">
        <v>0</v>
      </c>
      <c r="S1635" t="s">
        <v>0</v>
      </c>
      <c r="T1635" t="s">
        <v>0</v>
      </c>
    </row>
    <row r="1636" spans="1:20" x14ac:dyDescent="0.25">
      <c r="A1636">
        <v>21500294</v>
      </c>
      <c r="B1636" t="s">
        <v>4</v>
      </c>
      <c r="C1636" t="s">
        <v>22</v>
      </c>
      <c r="D1636">
        <v>100</v>
      </c>
      <c r="E1636">
        <v>94</v>
      </c>
      <c r="F1636">
        <v>6</v>
      </c>
      <c r="G1636">
        <v>4</v>
      </c>
      <c r="H1636" s="1">
        <v>2.5115740740740741E-3</v>
      </c>
      <c r="I1636">
        <v>2015</v>
      </c>
      <c r="J1636" t="s">
        <v>12</v>
      </c>
      <c r="K1636" s="2" t="str">
        <f>HYPERLINK("https://www.nba.com/stats/events?CFID=&amp;CFPARAMS=&amp;GameEventID=474&amp;GameID=0021500294&amp;Season=2015-16&amp;flag=1&amp;title=McCollum%2010'%20Jump%20Bank%20Shot%20(17%20PTS)%20(Leonard%202%20AST)", "McCollum 10' Jump Bank Shot (17 PTS) (Leonard 2 AST)")</f>
        <v>McCollum 10' Jump Bank Shot (17 PTS) (Leonard 2 AST)</v>
      </c>
      <c r="L1636" s="2" t="str">
        <f>HYPERLINK("https://www.nba.com/game/...-vs-...-0021500294/play-by-play?watchFullGame=true", "POR vs MIN - Q4 03:37.00")</f>
        <v>POR vs MIN - Q4 03:37.00</v>
      </c>
      <c r="M1636">
        <v>10</v>
      </c>
      <c r="N1636">
        <v>96</v>
      </c>
      <c r="O1636">
        <v>36</v>
      </c>
      <c r="P1636">
        <v>96</v>
      </c>
      <c r="Q1636">
        <v>36</v>
      </c>
      <c r="R1636" t="s">
        <v>0</v>
      </c>
      <c r="S1636" t="s">
        <v>0</v>
      </c>
      <c r="T1636" t="s">
        <v>0</v>
      </c>
    </row>
    <row r="1637" spans="1:20" x14ac:dyDescent="0.25">
      <c r="A1637">
        <v>21500310</v>
      </c>
      <c r="B1637" t="s">
        <v>4</v>
      </c>
      <c r="C1637" t="s">
        <v>9</v>
      </c>
      <c r="D1637">
        <v>59</v>
      </c>
      <c r="E1637">
        <v>59</v>
      </c>
      <c r="F1637">
        <v>0</v>
      </c>
      <c r="G1637">
        <v>3</v>
      </c>
      <c r="H1637" s="1">
        <v>5.0578703703703712E-4</v>
      </c>
      <c r="I1637">
        <v>2015</v>
      </c>
      <c r="J1637" t="s">
        <v>12</v>
      </c>
      <c r="K1637" s="2" t="str">
        <f>HYPERLINK("https://www.nba.com/stats/events?CFID=&amp;CFPARAMS=&amp;GameEventID=390&amp;GameID=0021500310&amp;Season=2015-16&amp;flag=1&amp;title=Lillard%2021'%20Jump%20Shot%20(15%20PTS)%20(Leonard%202%20AST)", "Lillard 21' Jump Shot (15 PTS) (Leonard 2 AST)")</f>
        <v>Lillard 21' Jump Shot (15 PTS) (Leonard 2 AST)</v>
      </c>
      <c r="L1637" s="2" t="str">
        <f>HYPERLINK("https://www.nba.com/game/...-vs-...-0021500310/play-by-play?watchFullGame=true", "POR vs MIL - Q3 00:43.70")</f>
        <v>POR vs MIL - Q3 00:43.70</v>
      </c>
      <c r="M1637">
        <v>21</v>
      </c>
      <c r="N1637">
        <v>208</v>
      </c>
      <c r="O1637">
        <v>-4</v>
      </c>
      <c r="P1637">
        <v>208</v>
      </c>
      <c r="Q1637">
        <v>-4</v>
      </c>
      <c r="R1637" t="s">
        <v>0</v>
      </c>
      <c r="S1637" t="s">
        <v>0</v>
      </c>
      <c r="T1637" t="s">
        <v>0</v>
      </c>
    </row>
    <row r="1638" spans="1:20" x14ac:dyDescent="0.25">
      <c r="A1638">
        <v>21500366</v>
      </c>
      <c r="B1638" t="s">
        <v>10</v>
      </c>
      <c r="C1638" t="s">
        <v>9</v>
      </c>
      <c r="D1638">
        <v>85</v>
      </c>
      <c r="E1638">
        <v>72</v>
      </c>
      <c r="F1638">
        <v>13</v>
      </c>
      <c r="G1638">
        <v>4</v>
      </c>
      <c r="H1638" s="1">
        <v>6.5856481481481478E-3</v>
      </c>
      <c r="I1638">
        <v>2015</v>
      </c>
      <c r="J1638" t="s">
        <v>12</v>
      </c>
      <c r="K1638" s="2" t="str">
        <f>HYPERLINK("https://www.nba.com/stats/events?CFID=&amp;CFPARAMS=&amp;GameEventID=434&amp;GameID=0021500366&amp;Season=2015-16&amp;flag=1&amp;title=Henderson%2024'%203PT%20Jump%20Shot%20(19%20PTS)%20(Leonard%204%20AST)", "Henderson 24' 3PT Jump Shot (19 PTS) (Leonard 4 AST)")</f>
        <v>Henderson 24' 3PT Jump Shot (19 PTS) (Leonard 4 AST)</v>
      </c>
      <c r="L1638" s="2" t="str">
        <f>HYPERLINK("https://www.nba.com/game/...-vs-...-0021500366/play-by-play?watchFullGame=true", "POR vs NOP - Q4 09:29.00")</f>
        <v>POR vs NOP - Q4 09:29.00</v>
      </c>
      <c r="M1638">
        <v>24</v>
      </c>
      <c r="N1638">
        <v>-240</v>
      </c>
      <c r="O1638">
        <v>-1</v>
      </c>
      <c r="P1638">
        <v>-240</v>
      </c>
      <c r="Q1638">
        <v>-1</v>
      </c>
      <c r="R1638" t="s">
        <v>0</v>
      </c>
      <c r="S1638" t="s">
        <v>0</v>
      </c>
      <c r="T1638" t="s">
        <v>0</v>
      </c>
    </row>
    <row r="1639" spans="1:20" x14ac:dyDescent="0.25">
      <c r="A1639">
        <v>21500450</v>
      </c>
      <c r="B1639" t="s">
        <v>4</v>
      </c>
      <c r="C1639" t="s">
        <v>6</v>
      </c>
      <c r="D1639">
        <v>22</v>
      </c>
      <c r="E1639">
        <v>18</v>
      </c>
      <c r="F1639">
        <v>4</v>
      </c>
      <c r="G1639">
        <v>1</v>
      </c>
      <c r="H1639" s="1">
        <v>1.0879629629629629E-3</v>
      </c>
      <c r="I1639">
        <v>2015</v>
      </c>
      <c r="J1639" t="s">
        <v>7</v>
      </c>
      <c r="K1639" s="2" t="str">
        <f>HYPERLINK("https://www.nba.com/stats/events?CFID=&amp;CFPARAMS=&amp;GameEventID=91&amp;GameID=0021500450&amp;Season=2015-16&amp;flag=1&amp;title=Aldridge%20%20Cutting%20Dunk%20Shot%20(4%20PTS)%20(Leonard%201%20AST)", "Aldridge  Cutting Dunk Shot (4 PTS) (Leonard 1 AST)")</f>
        <v>Aldridge  Cutting Dunk Shot (4 PTS) (Leonard 1 AST)</v>
      </c>
      <c r="L1639" s="2" t="str">
        <f>HYPERLINK("https://www.nba.com/game/...-vs-...-0021500450/play-by-play?watchFullGame=true", "SAS vs DEN - Q1 01:34.00")</f>
        <v>SAS vs DEN - Q1 01:34.00</v>
      </c>
      <c r="M1639">
        <v>0</v>
      </c>
      <c r="N1639">
        <v>0</v>
      </c>
      <c r="O1639">
        <v>1</v>
      </c>
      <c r="P1639">
        <v>0</v>
      </c>
      <c r="Q1639">
        <v>1</v>
      </c>
      <c r="R1639" t="s">
        <v>0</v>
      </c>
      <c r="S1639" t="s">
        <v>0</v>
      </c>
      <c r="T1639" t="s">
        <v>0</v>
      </c>
    </row>
    <row r="1640" spans="1:20" x14ac:dyDescent="0.25">
      <c r="A1640">
        <v>21500457</v>
      </c>
      <c r="B1640" t="s">
        <v>10</v>
      </c>
      <c r="C1640" t="s">
        <v>9</v>
      </c>
      <c r="D1640">
        <v>29</v>
      </c>
      <c r="E1640">
        <v>27</v>
      </c>
      <c r="F1640">
        <v>2</v>
      </c>
      <c r="G1640">
        <v>1</v>
      </c>
      <c r="H1640" s="1">
        <v>6.168981481481481E-4</v>
      </c>
      <c r="I1640">
        <v>2015</v>
      </c>
      <c r="J1640" t="s">
        <v>12</v>
      </c>
      <c r="K1640" s="2" t="str">
        <f>HYPERLINK("https://www.nba.com/stats/events?CFID=&amp;CFPARAMS=&amp;GameEventID=98&amp;GameID=0021500457&amp;Season=2015-16&amp;flag=1&amp;title=McCollum%2026'%203PT%20Jump%20Shot%20(13%20PTS)%20(Leonard%201%20AST)", "McCollum 26' 3PT Jump Shot (13 PTS) (Leonard 1 AST)")</f>
        <v>McCollum 26' 3PT Jump Shot (13 PTS) (Leonard 1 AST)</v>
      </c>
      <c r="L1640" s="2" t="str">
        <f>HYPERLINK("https://www.nba.com/game/...-vs-...-0021500457/play-by-play?watchFullGame=true", "POR vs SAC - Q1 00:53.30")</f>
        <v>POR vs SAC - Q1 00:53.30</v>
      </c>
      <c r="M1640">
        <v>26</v>
      </c>
      <c r="N1640">
        <v>-176</v>
      </c>
      <c r="O1640">
        <v>188</v>
      </c>
      <c r="P1640">
        <v>-176</v>
      </c>
      <c r="Q1640">
        <v>188</v>
      </c>
      <c r="R1640" t="s">
        <v>0</v>
      </c>
      <c r="S1640" t="s">
        <v>0</v>
      </c>
      <c r="T1640" t="s">
        <v>0</v>
      </c>
    </row>
    <row r="1641" spans="1:20" x14ac:dyDescent="0.25">
      <c r="A1641">
        <v>21601194</v>
      </c>
      <c r="B1641" t="s">
        <v>4</v>
      </c>
      <c r="C1641" t="s">
        <v>38</v>
      </c>
      <c r="D1641">
        <v>44</v>
      </c>
      <c r="E1641">
        <v>32</v>
      </c>
      <c r="F1641">
        <v>12</v>
      </c>
      <c r="G1641">
        <v>2</v>
      </c>
      <c r="H1641" s="1">
        <v>2.9745370370370373E-3</v>
      </c>
      <c r="I1641">
        <v>2016</v>
      </c>
      <c r="J1641" t="s">
        <v>12</v>
      </c>
      <c r="K1641" s="2" t="str">
        <f>HYPERLINK("https://www.nba.com/stats/events?CFID=&amp;CFPARAMS=&amp;GameEventID=202&amp;GameID=0021601194&amp;Season=2016-17&amp;flag=1&amp;title=Harkless%20%20Dunk%20(4%20PTS)%20(Leonard%201%20AST)", "Harkless  Dunk (4 PTS) (Leonard 1 AST)")</f>
        <v>Harkless  Dunk (4 PTS) (Leonard 1 AST)</v>
      </c>
      <c r="L1641" s="2" t="str">
        <f>HYPERLINK("https://www.nba.com/game/...-vs-...-0021601194/play-by-play?watchFullGame=true", "POR vs UTA - Q2 04:17.00")</f>
        <v>POR vs UTA - Q2 04:17.00</v>
      </c>
      <c r="M1641">
        <v>0</v>
      </c>
      <c r="N1641">
        <v>0</v>
      </c>
      <c r="O1641">
        <v>1</v>
      </c>
      <c r="P1641">
        <v>0</v>
      </c>
      <c r="Q1641">
        <v>1</v>
      </c>
      <c r="R1641" t="s">
        <v>0</v>
      </c>
      <c r="S1641" t="s">
        <v>0</v>
      </c>
      <c r="T1641" t="s">
        <v>0</v>
      </c>
    </row>
    <row r="1642" spans="1:20" x14ac:dyDescent="0.25">
      <c r="A1642">
        <v>21700550</v>
      </c>
      <c r="B1642" t="s">
        <v>10</v>
      </c>
      <c r="C1642" t="s">
        <v>9</v>
      </c>
      <c r="D1642">
        <v>45</v>
      </c>
      <c r="E1642">
        <v>45</v>
      </c>
      <c r="F1642">
        <v>0</v>
      </c>
      <c r="G1642">
        <v>2</v>
      </c>
      <c r="H1642" s="1">
        <v>1.8634259259259259E-3</v>
      </c>
      <c r="I1642">
        <v>2017</v>
      </c>
      <c r="J1642" t="s">
        <v>7</v>
      </c>
      <c r="K1642" s="2" t="str">
        <f>HYPERLINK("https://www.nba.com/stats/events?CFID=&amp;CFPARAMS=&amp;GameEventID=270&amp;GameID=0021700550&amp;Season=2017-18&amp;flag=1&amp;title=Ginobili%2026'%203PT%20Jump%20Shot%20(5%20PTS)%20(Leonard%203%20AST)", "Ginobili 26' 3PT Jump Shot (5 PTS) (Leonard 3 AST)")</f>
        <v>Ginobili 26' 3PT Jump Shot (5 PTS) (Leonard 3 AST)</v>
      </c>
      <c r="L1642" s="2" t="str">
        <f>HYPERLINK("https://www.nba.com/game/...-vs-...-0021700550/play-by-play?watchFullGame=true", "SAS vs NYK - Q2 02:41.00")</f>
        <v>SAS vs NYK - Q2 02:41.00</v>
      </c>
      <c r="M1642">
        <v>26</v>
      </c>
      <c r="N1642">
        <v>-224</v>
      </c>
      <c r="O1642">
        <v>133</v>
      </c>
      <c r="P1642">
        <v>-224</v>
      </c>
      <c r="Q1642">
        <v>133</v>
      </c>
      <c r="R1642" t="s">
        <v>0</v>
      </c>
      <c r="S1642" t="s">
        <v>0</v>
      </c>
      <c r="T1642" t="s">
        <v>0</v>
      </c>
    </row>
    <row r="1643" spans="1:20" x14ac:dyDescent="0.25">
      <c r="A1643">
        <v>21700573</v>
      </c>
      <c r="B1643" t="s">
        <v>4</v>
      </c>
      <c r="C1643" t="s">
        <v>29</v>
      </c>
      <c r="D1643">
        <v>49</v>
      </c>
      <c r="E1643">
        <v>40</v>
      </c>
      <c r="F1643">
        <v>9</v>
      </c>
      <c r="G1643">
        <v>2</v>
      </c>
      <c r="H1643" s="1">
        <v>1.5046296296296296E-3</v>
      </c>
      <c r="I1643">
        <v>2017</v>
      </c>
      <c r="J1643" t="s">
        <v>7</v>
      </c>
      <c r="K1643" s="2" t="str">
        <f>HYPERLINK("https://www.nba.com/stats/events?CFID=&amp;CFPARAMS=&amp;GameEventID=293&amp;GameID=0021700573&amp;Season=2017-18&amp;flag=1&amp;title=Forbes%206'%20Driving%20Floating%20Jump%20Shot%20(14%20PTS)%20(Leonard%203%20AST)", "Forbes 6' Driving Floating Jump Shot (14 PTS) (Leonard 3 AST)")</f>
        <v>Forbes 6' Driving Floating Jump Shot (14 PTS) (Leonard 3 AST)</v>
      </c>
      <c r="L1643" s="2" t="str">
        <f>HYPERLINK("https://www.nba.com/game/...-vs-...-0021700573/play-by-play?watchFullGame=true", "SAS vs PHX - Q2 02:10.00")</f>
        <v>SAS vs PHX - Q2 02:10.00</v>
      </c>
      <c r="M1643">
        <v>6</v>
      </c>
      <c r="N1643">
        <v>1</v>
      </c>
      <c r="O1643">
        <v>56</v>
      </c>
      <c r="P1643">
        <v>1</v>
      </c>
      <c r="Q1643">
        <v>56</v>
      </c>
      <c r="R1643" t="s">
        <v>0</v>
      </c>
      <c r="S1643" t="s">
        <v>0</v>
      </c>
      <c r="T1643" t="s">
        <v>0</v>
      </c>
    </row>
    <row r="1644" spans="1:20" x14ac:dyDescent="0.25">
      <c r="A1644">
        <v>21701196</v>
      </c>
      <c r="B1644" t="s">
        <v>10</v>
      </c>
      <c r="C1644" t="s">
        <v>9</v>
      </c>
      <c r="D1644">
        <v>38</v>
      </c>
      <c r="E1644">
        <v>35</v>
      </c>
      <c r="F1644">
        <v>3</v>
      </c>
      <c r="G1644">
        <v>2</v>
      </c>
      <c r="H1644" s="1">
        <v>6.4814814814814813E-3</v>
      </c>
      <c r="I1644">
        <v>2017</v>
      </c>
      <c r="J1644" t="s">
        <v>12</v>
      </c>
      <c r="K1644" s="2" t="str">
        <f>HYPERLINK("https://www.nba.com/stats/events?CFID=&amp;CFPARAMS=&amp;GameEventID=149&amp;GameID=0021701196&amp;Season=2017-18&amp;flag=1&amp;title=Baldwin%20IV%2026'%203PT%20Jump%20Shot%20(3%20PTS)%20(Leonard%201%20AST)", "Baldwin IV 26' 3PT Jump Shot (3 PTS) (Leonard 1 AST)")</f>
        <v>Baldwin IV 26' 3PT Jump Shot (3 PTS) (Leonard 1 AST)</v>
      </c>
      <c r="L1644" s="2" t="str">
        <f>HYPERLINK("https://www.nba.com/game/...-vs-...-0021701196/play-by-play?watchFullGame=true", "POR vs SAS - Q2 09:20.00")</f>
        <v>POR vs SAS - Q2 09:20.00</v>
      </c>
      <c r="M1644">
        <v>26</v>
      </c>
      <c r="N1644">
        <v>-180</v>
      </c>
      <c r="O1644">
        <v>186</v>
      </c>
      <c r="P1644">
        <v>-180</v>
      </c>
      <c r="Q1644">
        <v>186</v>
      </c>
      <c r="R1644" t="s">
        <v>0</v>
      </c>
      <c r="S1644" t="s">
        <v>0</v>
      </c>
      <c r="T1644" t="s">
        <v>0</v>
      </c>
    </row>
    <row r="1645" spans="1:20" x14ac:dyDescent="0.25">
      <c r="A1645">
        <v>21800055</v>
      </c>
      <c r="B1645" t="s">
        <v>4</v>
      </c>
      <c r="C1645" t="s">
        <v>34</v>
      </c>
      <c r="D1645">
        <v>5</v>
      </c>
      <c r="E1645">
        <v>2</v>
      </c>
      <c r="F1645">
        <v>3</v>
      </c>
      <c r="G1645">
        <v>1</v>
      </c>
      <c r="H1645" s="1">
        <v>7.3611111111111108E-3</v>
      </c>
      <c r="I1645">
        <v>2018</v>
      </c>
      <c r="J1645" t="s">
        <v>1</v>
      </c>
      <c r="K1645" s="2" t="str">
        <f>HYPERLINK("https://www.nba.com/stats/events?CFID=&amp;CFPARAMS=&amp;GameEventID=14&amp;GameID=0021800055&amp;Season=2018-19&amp;flag=1&amp;title=Siakam%204'%20Driving%20Hook%20Shot%20(2%20PTS)%20(Leonard%201%20AST)", "Siakam 4' Driving Hook Shot (2 PTS) (Leonard 1 AST)")</f>
        <v>Siakam 4' Driving Hook Shot (2 PTS) (Leonard 1 AST)</v>
      </c>
      <c r="L1645" s="2" t="str">
        <f>HYPERLINK("https://www.nba.com/game/...-vs-...-0021800055/play-by-play?watchFullGame=true", "TOR vs MIN - Q1 10:36.00")</f>
        <v>TOR vs MIN - Q1 10:36.00</v>
      </c>
      <c r="M1645">
        <v>4</v>
      </c>
      <c r="N1645">
        <v>-33</v>
      </c>
      <c r="O1645">
        <v>29</v>
      </c>
      <c r="P1645">
        <v>-33</v>
      </c>
      <c r="Q1645">
        <v>29</v>
      </c>
      <c r="R1645" t="s">
        <v>0</v>
      </c>
      <c r="S1645" t="s">
        <v>0</v>
      </c>
      <c r="T1645" t="s">
        <v>0</v>
      </c>
    </row>
    <row r="1646" spans="1:20" x14ac:dyDescent="0.25">
      <c r="A1646">
        <v>21800069</v>
      </c>
      <c r="B1646" t="s">
        <v>10</v>
      </c>
      <c r="C1646" t="s">
        <v>3</v>
      </c>
      <c r="D1646">
        <v>42</v>
      </c>
      <c r="E1646">
        <v>28</v>
      </c>
      <c r="F1646">
        <v>14</v>
      </c>
      <c r="G1646">
        <v>2</v>
      </c>
      <c r="H1646" s="1">
        <v>7.5347222222222222E-3</v>
      </c>
      <c r="I1646">
        <v>2018</v>
      </c>
      <c r="J1646" t="s">
        <v>1</v>
      </c>
      <c r="K1646" s="2" t="str">
        <f>HYPERLINK("https://www.nba.com/stats/events?CFID=&amp;CFPARAMS=&amp;GameEventID=191&amp;GameID=0021800069&amp;Season=2018-19&amp;flag=1&amp;title=Miles%2024'%203PT%20Running%20Jump%20Shot%20(6%20PTS)%20(Leonard%203%20AST)", "Miles 24' 3PT Running Jump Shot (6 PTS) (Leonard 3 AST)")</f>
        <v>Miles 24' 3PT Running Jump Shot (6 PTS) (Leonard 3 AST)</v>
      </c>
      <c r="L1646" s="2" t="str">
        <f>HYPERLINK("https://www.nba.com/game/...-vs-...-0021800069/play-by-play?watchFullGame=true", "TOR vs DAL - Q2 10:51.00")</f>
        <v>TOR vs DAL - Q2 10:51.00</v>
      </c>
      <c r="M1646">
        <v>24</v>
      </c>
      <c r="N1646">
        <v>-236</v>
      </c>
      <c r="O1646">
        <v>10</v>
      </c>
      <c r="P1646">
        <v>-236</v>
      </c>
      <c r="Q1646">
        <v>10</v>
      </c>
      <c r="R1646" t="s">
        <v>0</v>
      </c>
      <c r="S1646" t="s">
        <v>0</v>
      </c>
      <c r="T1646" t="s">
        <v>0</v>
      </c>
    </row>
    <row r="1647" spans="1:20" x14ac:dyDescent="0.25">
      <c r="A1647">
        <v>21800206</v>
      </c>
      <c r="B1647" t="s">
        <v>4</v>
      </c>
      <c r="C1647" t="s">
        <v>20</v>
      </c>
      <c r="D1647">
        <v>83</v>
      </c>
      <c r="E1647">
        <v>66</v>
      </c>
      <c r="F1647">
        <v>17</v>
      </c>
      <c r="G1647">
        <v>3</v>
      </c>
      <c r="H1647" s="1">
        <v>2.627314814814815E-3</v>
      </c>
      <c r="I1647">
        <v>2018</v>
      </c>
      <c r="J1647" t="s">
        <v>1</v>
      </c>
      <c r="K1647" s="2" t="str">
        <f>HYPERLINK("https://www.nba.com/stats/events?CFID=&amp;CFPARAMS=&amp;GameEventID=431&amp;GameID=0021800206&amp;Season=2018-19&amp;flag=1&amp;title=Monroe%202'%20Cutting%20Layup%20Shot%20(12%20PTS)%20(Leonard%204%20AST)", "Monroe 2' Cutting Layup Shot (12 PTS) (Leonard 4 AST)")</f>
        <v>Monroe 2' Cutting Layup Shot (12 PTS) (Leonard 4 AST)</v>
      </c>
      <c r="L1647" s="2" t="str">
        <f>HYPERLINK("https://www.nba.com/game/...-vs-...-0021800206/play-by-play?watchFullGame=true", "TOR vs DET - Q3 03:47.00")</f>
        <v>TOR vs DET - Q3 03:47.00</v>
      </c>
      <c r="M1647">
        <v>2</v>
      </c>
      <c r="N1647">
        <v>16</v>
      </c>
      <c r="O1647">
        <v>-1</v>
      </c>
      <c r="P1647">
        <v>16</v>
      </c>
      <c r="Q1647">
        <v>-1</v>
      </c>
      <c r="R1647" t="s">
        <v>0</v>
      </c>
      <c r="S1647" t="s">
        <v>0</v>
      </c>
      <c r="T1647" t="s">
        <v>0</v>
      </c>
    </row>
    <row r="1648" spans="1:20" x14ac:dyDescent="0.25">
      <c r="A1648">
        <v>21800206</v>
      </c>
      <c r="B1648" t="s">
        <v>4</v>
      </c>
      <c r="C1648" t="s">
        <v>16</v>
      </c>
      <c r="D1648">
        <v>19</v>
      </c>
      <c r="E1648">
        <v>15</v>
      </c>
      <c r="F1648">
        <v>4</v>
      </c>
      <c r="G1648">
        <v>1</v>
      </c>
      <c r="H1648" s="1">
        <v>3.5416666666666665E-3</v>
      </c>
      <c r="I1648">
        <v>2018</v>
      </c>
      <c r="J1648" t="s">
        <v>1</v>
      </c>
      <c r="K1648" s="2" t="str">
        <f>HYPERLINK("https://www.nba.com/stats/events?CFID=&amp;CFPARAMS=&amp;GameEventID=80&amp;GameID=0021800206&amp;Season=2018-19&amp;flag=1&amp;title=Siakam%202'%20Running%20Dunk%20(2%20PTS)%20(Leonard%201%20AST)", "Siakam 2' Running Dunk (2 PTS) (Leonard 1 AST)")</f>
        <v>Siakam 2' Running Dunk (2 PTS) (Leonard 1 AST)</v>
      </c>
      <c r="L1648" s="2" t="str">
        <f>HYPERLINK("https://www.nba.com/game/...-vs-...-0021800206/play-by-play?watchFullGame=true", "TOR vs DET - Q1 05:06.00")</f>
        <v>TOR vs DET - Q1 05:06.00</v>
      </c>
      <c r="M1648">
        <v>2</v>
      </c>
      <c r="N1648">
        <v>3</v>
      </c>
      <c r="O1648">
        <v>15</v>
      </c>
      <c r="P1648">
        <v>3</v>
      </c>
      <c r="Q1648">
        <v>15</v>
      </c>
      <c r="R1648" t="s">
        <v>0</v>
      </c>
      <c r="S1648" t="s">
        <v>0</v>
      </c>
      <c r="T1648" t="s">
        <v>0</v>
      </c>
    </row>
    <row r="1649" spans="1:20" x14ac:dyDescent="0.25">
      <c r="A1649">
        <v>21400102</v>
      </c>
      <c r="B1649" t="s">
        <v>4</v>
      </c>
      <c r="C1649" t="s">
        <v>5</v>
      </c>
      <c r="D1649">
        <v>29</v>
      </c>
      <c r="E1649">
        <v>37</v>
      </c>
      <c r="F1649">
        <v>8</v>
      </c>
      <c r="G1649">
        <v>2</v>
      </c>
      <c r="H1649" s="1">
        <v>3.3449074074074076E-3</v>
      </c>
      <c r="I1649">
        <v>2014</v>
      </c>
      <c r="J1649" t="s">
        <v>7</v>
      </c>
      <c r="K1649" s="2" t="str">
        <f>HYPERLINK("https://www.nba.com/stats/events?CFID=&amp;CFPARAMS=&amp;GameEventID=182&amp;GameID=0021400102&amp;Season=2014-15&amp;flag=1&amp;title=Duncan%204'%20Layup%20(9%20PTS)%20(Leonard%201%20AST)", "Duncan 4' Layup (9 PTS) (Leonard 1 AST)")</f>
        <v>Duncan 4' Layup (9 PTS) (Leonard 1 AST)</v>
      </c>
      <c r="L1649" s="2" t="str">
        <f>HYPERLINK("https://www.nba.com/game/...-vs-...-0021400102/play-by-play?watchFullGame=true", "SAS vs LAC - Q2 04:49.00")</f>
        <v>SAS vs LAC - Q2 04:49.00</v>
      </c>
      <c r="M1649">
        <v>4</v>
      </c>
      <c r="N1649">
        <v>-14</v>
      </c>
      <c r="O1649">
        <v>38</v>
      </c>
      <c r="P1649">
        <v>-14</v>
      </c>
      <c r="Q1649">
        <v>38</v>
      </c>
      <c r="R1649" t="s">
        <v>0</v>
      </c>
      <c r="S1649" t="s">
        <v>0</v>
      </c>
      <c r="T1649" t="s">
        <v>0</v>
      </c>
    </row>
    <row r="1650" spans="1:20" x14ac:dyDescent="0.25">
      <c r="A1650">
        <v>21400159</v>
      </c>
      <c r="B1650" t="s">
        <v>4</v>
      </c>
      <c r="C1650" t="s">
        <v>5</v>
      </c>
      <c r="D1650">
        <v>58</v>
      </c>
      <c r="E1650">
        <v>57</v>
      </c>
      <c r="F1650">
        <v>1</v>
      </c>
      <c r="G1650">
        <v>3</v>
      </c>
      <c r="H1650" s="1">
        <v>3.1134259259259257E-3</v>
      </c>
      <c r="I1650">
        <v>2014</v>
      </c>
      <c r="J1650" t="s">
        <v>7</v>
      </c>
      <c r="K1650" s="2" t="str">
        <f>HYPERLINK("https://www.nba.com/stats/events?CFID=&amp;CFPARAMS=&amp;GameEventID=324&amp;GameID=0021400159&amp;Season=2014-15&amp;flag=1&amp;title=Parker%201'%20Layup%20(4%20PTS)%20(Leonard%204%20AST)", "Parker 1' Layup (4 PTS) (Leonard 4 AST)")</f>
        <v>Parker 1' Layup (4 PTS) (Leonard 4 AST)</v>
      </c>
      <c r="L1650" s="2" t="str">
        <f>HYPERLINK("https://www.nba.com/game/...-vs-...-0021400159/play-by-play?watchFullGame=true", "SAS vs CLE - Q3 04:29.00")</f>
        <v>SAS vs CLE - Q3 04:29.00</v>
      </c>
      <c r="M1650">
        <v>1</v>
      </c>
      <c r="N1650">
        <v>9</v>
      </c>
      <c r="O1650">
        <v>-6</v>
      </c>
      <c r="P1650">
        <v>9</v>
      </c>
      <c r="Q1650">
        <v>-6</v>
      </c>
      <c r="R1650" t="s">
        <v>0</v>
      </c>
      <c r="S1650" t="s">
        <v>0</v>
      </c>
      <c r="T1650" t="s">
        <v>0</v>
      </c>
    </row>
    <row r="1651" spans="1:20" x14ac:dyDescent="0.25">
      <c r="A1651">
        <v>21400291</v>
      </c>
      <c r="B1651" t="s">
        <v>4</v>
      </c>
      <c r="C1651" t="s">
        <v>22</v>
      </c>
      <c r="D1651">
        <v>35</v>
      </c>
      <c r="E1651">
        <v>26</v>
      </c>
      <c r="F1651">
        <v>9</v>
      </c>
      <c r="G1651">
        <v>2</v>
      </c>
      <c r="H1651" s="1">
        <v>7.5578703703703702E-3</v>
      </c>
      <c r="I1651">
        <v>2014</v>
      </c>
      <c r="J1651" t="s">
        <v>7</v>
      </c>
      <c r="K1651" s="2" t="str">
        <f>HYPERLINK("https://www.nba.com/stats/events?CFID=&amp;CFPARAMS=&amp;GameEventID=138&amp;GameID=0021400291&amp;Season=2014-15&amp;flag=1&amp;title=Duncan%205'%20Jump%20Bank%20Shot%20(8%20PTS)%20(Leonard%201%20AST)", "Duncan 5' Jump Bank Shot (8 PTS) (Leonard 1 AST)")</f>
        <v>Duncan 5' Jump Bank Shot (8 PTS) (Leonard 1 AST)</v>
      </c>
      <c r="L1651" s="2" t="str">
        <f>HYPERLINK("https://www.nba.com/game/...-vs-...-0021400291/play-by-play?watchFullGame=true", "SAS vs MIN - Q2 10:53.00")</f>
        <v>SAS vs MIN - Q2 10:53.00</v>
      </c>
      <c r="M1651">
        <v>5</v>
      </c>
      <c r="N1651">
        <v>-51</v>
      </c>
      <c r="O1651">
        <v>6</v>
      </c>
      <c r="P1651">
        <v>-51</v>
      </c>
      <c r="Q1651">
        <v>6</v>
      </c>
      <c r="R1651" t="s">
        <v>0</v>
      </c>
      <c r="S1651" t="s">
        <v>0</v>
      </c>
      <c r="T1651" t="s">
        <v>0</v>
      </c>
    </row>
    <row r="1652" spans="1:20" x14ac:dyDescent="0.25">
      <c r="A1652">
        <v>21400648</v>
      </c>
      <c r="B1652" t="s">
        <v>10</v>
      </c>
      <c r="C1652" t="s">
        <v>9</v>
      </c>
      <c r="D1652">
        <v>86</v>
      </c>
      <c r="E1652">
        <v>68</v>
      </c>
      <c r="F1652">
        <v>18</v>
      </c>
      <c r="G1652">
        <v>4</v>
      </c>
      <c r="H1652" s="1">
        <v>5.4513888888888893E-3</v>
      </c>
      <c r="I1652">
        <v>2014</v>
      </c>
      <c r="J1652" t="s">
        <v>7</v>
      </c>
      <c r="K1652" s="2" t="str">
        <f>HYPERLINK("https://www.nba.com/stats/events?CFID=&amp;CFPARAMS=&amp;GameEventID=423&amp;GameID=0021400648&amp;Season=2014-15&amp;flag=1&amp;title=Mills%2024'%203PT%20Jump%20Shot%20(6%20PTS)%20(Leonard%202%20AST)", "Mills 24' 3PT Jump Shot (6 PTS) (Leonard 2 AST)")</f>
        <v>Mills 24' 3PT Jump Shot (6 PTS) (Leonard 2 AST)</v>
      </c>
      <c r="L1652" s="2" t="str">
        <f>HYPERLINK("https://www.nba.com/game/...-vs-...-0021400648/play-by-play?watchFullGame=true", "SAS vs LAL - Q4 07:51.00")</f>
        <v>SAS vs LAL - Q4 07:51.00</v>
      </c>
      <c r="M1652">
        <v>24</v>
      </c>
      <c r="N1652">
        <v>-231</v>
      </c>
      <c r="O1652">
        <v>44</v>
      </c>
      <c r="P1652">
        <v>-231</v>
      </c>
      <c r="Q1652">
        <v>44</v>
      </c>
      <c r="R1652" t="s">
        <v>0</v>
      </c>
      <c r="S1652" t="s">
        <v>0</v>
      </c>
      <c r="T1652" t="s">
        <v>0</v>
      </c>
    </row>
    <row r="1653" spans="1:20" x14ac:dyDescent="0.25">
      <c r="A1653">
        <v>21400762</v>
      </c>
      <c r="B1653" t="s">
        <v>10</v>
      </c>
      <c r="C1653" t="s">
        <v>9</v>
      </c>
      <c r="D1653">
        <v>42</v>
      </c>
      <c r="E1653">
        <v>34</v>
      </c>
      <c r="F1653">
        <v>8</v>
      </c>
      <c r="G1653">
        <v>2</v>
      </c>
      <c r="H1653" s="1">
        <v>3.9004629629629628E-3</v>
      </c>
      <c r="I1653">
        <v>2014</v>
      </c>
      <c r="J1653" t="s">
        <v>12</v>
      </c>
      <c r="K1653" s="2" t="str">
        <f>HYPERLINK("https://www.nba.com/stats/events?CFID=&amp;CFPARAMS=&amp;GameEventID=199&amp;GameID=0021400762&amp;Season=2014-15&amp;flag=1&amp;title=Lillard%2025'%203PT%20Jump%20Shot%20(5%20PTS)%20(Leonard%201%20AST)", "Lillard 25' 3PT Jump Shot (5 PTS) (Leonard 1 AST)")</f>
        <v>Lillard 25' 3PT Jump Shot (5 PTS) (Leonard 1 AST)</v>
      </c>
      <c r="L1653" s="2" t="str">
        <f>HYPERLINK("https://www.nba.com/game/...-vs-...-0021400762/play-by-play?watchFullGame=true", "POR vs DAL - Q2 05:37.00")</f>
        <v>POR vs DAL - Q2 05:37.00</v>
      </c>
      <c r="M1653">
        <v>25</v>
      </c>
      <c r="N1653">
        <v>185</v>
      </c>
      <c r="O1653">
        <v>175</v>
      </c>
      <c r="P1653">
        <v>185</v>
      </c>
      <c r="Q1653">
        <v>175</v>
      </c>
      <c r="R1653" t="s">
        <v>0</v>
      </c>
      <c r="S1653" t="s">
        <v>0</v>
      </c>
      <c r="T1653" t="s">
        <v>0</v>
      </c>
    </row>
    <row r="1654" spans="1:20" x14ac:dyDescent="0.25">
      <c r="A1654">
        <v>21400853</v>
      </c>
      <c r="B1654" t="s">
        <v>4</v>
      </c>
      <c r="C1654" t="s">
        <v>50</v>
      </c>
      <c r="D1654">
        <v>8</v>
      </c>
      <c r="E1654">
        <v>10</v>
      </c>
      <c r="F1654">
        <v>2</v>
      </c>
      <c r="G1654">
        <v>1</v>
      </c>
      <c r="H1654" s="1">
        <v>5.0231481481481481E-3</v>
      </c>
      <c r="I1654">
        <v>2014</v>
      </c>
      <c r="J1654" t="s">
        <v>7</v>
      </c>
      <c r="K1654" s="2" t="str">
        <f>HYPERLINK("https://www.nba.com/stats/events?CFID=&amp;CFPARAMS=&amp;GameEventID=39&amp;GameID=0021400853&amp;Season=2014-15&amp;flag=1&amp;title=Duncan%20%20Finger%20Roll%20Layup%20(8%20PTS)%20(Leonard%201%20AST)", "Duncan  Finger Roll Layup (8 PTS) (Leonard 1 AST)")</f>
        <v>Duncan  Finger Roll Layup (8 PTS) (Leonard 1 AST)</v>
      </c>
      <c r="L1654" s="2" t="str">
        <f>HYPERLINK("https://www.nba.com/game/...-vs-...-0021400853/play-by-play?watchFullGame=true", "SAS vs POR - Q1 07:14.00")</f>
        <v>SAS vs POR - Q1 07:14.00</v>
      </c>
      <c r="M1654">
        <v>0</v>
      </c>
      <c r="N1654">
        <v>-2</v>
      </c>
      <c r="O1654">
        <v>1</v>
      </c>
      <c r="P1654">
        <v>-2</v>
      </c>
      <c r="Q1654">
        <v>1</v>
      </c>
      <c r="R1654" t="s">
        <v>0</v>
      </c>
      <c r="S1654" t="s">
        <v>0</v>
      </c>
      <c r="T1654" t="s">
        <v>0</v>
      </c>
    </row>
    <row r="1655" spans="1:20" x14ac:dyDescent="0.25">
      <c r="A1655">
        <v>21400921</v>
      </c>
      <c r="B1655" t="s">
        <v>10</v>
      </c>
      <c r="C1655" t="s">
        <v>9</v>
      </c>
      <c r="D1655">
        <v>3</v>
      </c>
      <c r="E1655">
        <v>0</v>
      </c>
      <c r="F1655">
        <v>3</v>
      </c>
      <c r="G1655">
        <v>1</v>
      </c>
      <c r="H1655" s="1">
        <v>8.1597222222222227E-3</v>
      </c>
      <c r="I1655">
        <v>2014</v>
      </c>
      <c r="J1655" t="s">
        <v>7</v>
      </c>
      <c r="K1655" s="2" t="str">
        <f>HYPERLINK("https://www.nba.com/stats/events?CFID=&amp;CFPARAMS=&amp;GameEventID=2&amp;GameID=0021400921&amp;Season=2014-15&amp;flag=1&amp;title=Green%2025'%203PT%20Jump%20Shot%20(3%20PTS)%20(Leonard%201%20AST)", "Green 25' 3PT Jump Shot (3 PTS) (Leonard 1 AST)")</f>
        <v>Green 25' 3PT Jump Shot (3 PTS) (Leonard 1 AST)</v>
      </c>
      <c r="L1655" s="2" t="str">
        <f>HYPERLINK("https://www.nba.com/game/...-vs-...-0021400921/play-by-play?watchFullGame=true", "SAS vs DEN - Q1 11:45.00")</f>
        <v>SAS vs DEN - Q1 11:45.00</v>
      </c>
      <c r="M1655">
        <v>25</v>
      </c>
      <c r="N1655">
        <v>193</v>
      </c>
      <c r="O1655">
        <v>165</v>
      </c>
      <c r="P1655">
        <v>193</v>
      </c>
      <c r="Q1655">
        <v>165</v>
      </c>
      <c r="R1655" t="s">
        <v>0</v>
      </c>
      <c r="S1655" t="s">
        <v>0</v>
      </c>
      <c r="T1655" t="s">
        <v>0</v>
      </c>
    </row>
    <row r="1656" spans="1:20" x14ac:dyDescent="0.25">
      <c r="A1656">
        <v>21500235</v>
      </c>
      <c r="B1656" t="s">
        <v>4</v>
      </c>
      <c r="C1656" t="s">
        <v>28</v>
      </c>
      <c r="D1656">
        <v>12</v>
      </c>
      <c r="E1656">
        <v>13</v>
      </c>
      <c r="F1656">
        <v>1</v>
      </c>
      <c r="G1656">
        <v>1</v>
      </c>
      <c r="H1656" s="1">
        <v>2.3726851851851851E-3</v>
      </c>
      <c r="I1656">
        <v>2015</v>
      </c>
      <c r="J1656" t="s">
        <v>7</v>
      </c>
      <c r="K1656" s="2" t="str">
        <f>HYPERLINK("https://www.nba.com/stats/events?CFID=&amp;CFPARAMS=&amp;GameEventID=72&amp;GameID=0021500235&amp;Season=2015-16&amp;flag=1&amp;title=Mills%20%20Driving%20Finger%20Roll%20Layup%20(2%20PTS)%20(Leonard%202%20AST)", "Mills  Driving Finger Roll Layup (2 PTS) (Leonard 2 AST)")</f>
        <v>Mills  Driving Finger Roll Layup (2 PTS) (Leonard 2 AST)</v>
      </c>
      <c r="L1656" s="2" t="str">
        <f>HYPERLINK("https://www.nba.com/game/...-vs-...-0021500235/play-by-play?watchFullGame=true", "SAS vs DEN - Q1 03:25.00")</f>
        <v>SAS vs DEN - Q1 03:25.00</v>
      </c>
      <c r="M1656">
        <v>0</v>
      </c>
      <c r="N1656">
        <v>-1</v>
      </c>
      <c r="O1656">
        <v>3</v>
      </c>
      <c r="P1656">
        <v>-1</v>
      </c>
      <c r="Q1656">
        <v>3</v>
      </c>
      <c r="R1656" t="s">
        <v>0</v>
      </c>
      <c r="S1656" t="s">
        <v>0</v>
      </c>
      <c r="T1656" t="s">
        <v>0</v>
      </c>
    </row>
    <row r="1657" spans="1:20" x14ac:dyDescent="0.25">
      <c r="A1657">
        <v>21500323</v>
      </c>
      <c r="B1657" t="s">
        <v>4</v>
      </c>
      <c r="C1657" t="s">
        <v>5</v>
      </c>
      <c r="D1657">
        <v>8</v>
      </c>
      <c r="E1657">
        <v>17</v>
      </c>
      <c r="F1657">
        <v>9</v>
      </c>
      <c r="G1657">
        <v>1</v>
      </c>
      <c r="H1657" s="1">
        <v>3.6805555555555554E-3</v>
      </c>
      <c r="I1657">
        <v>2015</v>
      </c>
      <c r="J1657" t="s">
        <v>7</v>
      </c>
      <c r="K1657" s="2" t="str">
        <f>HYPERLINK("https://www.nba.com/stats/events?CFID=&amp;CFPARAMS=&amp;GameEventID=52&amp;GameID=0021500323&amp;Season=2015-16&amp;flag=1&amp;title=West%203'%20Layup%20(2%20PTS)%20(Leonard%202%20AST)", "West 3' Layup (2 PTS) (Leonard 2 AST)")</f>
        <v>West 3' Layup (2 PTS) (Leonard 2 AST)</v>
      </c>
      <c r="L1657" s="2" t="str">
        <f>HYPERLINK("https://www.nba.com/game/...-vs-...-0021500323/play-by-play?watchFullGame=true", "SAS vs TOR - Q1 05:18.00")</f>
        <v>SAS vs TOR - Q1 05:18.00</v>
      </c>
      <c r="M1657">
        <v>3</v>
      </c>
      <c r="N1657">
        <v>-24</v>
      </c>
      <c r="O1657">
        <v>7</v>
      </c>
      <c r="P1657">
        <v>-24</v>
      </c>
      <c r="Q1657">
        <v>7</v>
      </c>
      <c r="R1657" t="s">
        <v>0</v>
      </c>
      <c r="S1657" t="s">
        <v>0</v>
      </c>
      <c r="T1657" t="s">
        <v>0</v>
      </c>
    </row>
    <row r="1658" spans="1:20" x14ac:dyDescent="0.25">
      <c r="A1658">
        <v>21500342</v>
      </c>
      <c r="B1658" t="s">
        <v>4</v>
      </c>
      <c r="C1658" t="s">
        <v>19</v>
      </c>
      <c r="D1658">
        <v>46</v>
      </c>
      <c r="E1658">
        <v>39</v>
      </c>
      <c r="F1658">
        <v>7</v>
      </c>
      <c r="G1658">
        <v>2</v>
      </c>
      <c r="H1658" s="1">
        <v>2.9282407407407408E-3</v>
      </c>
      <c r="I1658">
        <v>2015</v>
      </c>
      <c r="J1658" t="s">
        <v>7</v>
      </c>
      <c r="K1658" s="2" t="str">
        <f>HYPERLINK("https://www.nba.com/stats/events?CFID=&amp;CFPARAMS=&amp;GameEventID=175&amp;GameID=0021500342&amp;Season=2015-16&amp;flag=1&amp;title=Mills%2022'%20Pullup%20Jump%20Shot%20(13%20PTS)%20(Leonard%202%20AST)", "Mills 22' Pullup Jump Shot (13 PTS) (Leonard 2 AST)")</f>
        <v>Mills 22' Pullup Jump Shot (13 PTS) (Leonard 2 AST)</v>
      </c>
      <c r="L1658" s="2" t="str">
        <f>HYPERLINK("https://www.nba.com/game/...-vs-...-0021500342/play-by-play?watchFullGame=true", "SAS vs LAL - Q2 04:13.00")</f>
        <v>SAS vs LAL - Q2 04:13.00</v>
      </c>
      <c r="M1658">
        <v>22</v>
      </c>
      <c r="N1658">
        <v>173</v>
      </c>
      <c r="O1658">
        <v>129</v>
      </c>
      <c r="P1658">
        <v>173</v>
      </c>
      <c r="Q1658">
        <v>129</v>
      </c>
      <c r="R1658" t="s">
        <v>0</v>
      </c>
      <c r="S1658" t="s">
        <v>0</v>
      </c>
      <c r="T1658" t="s">
        <v>0</v>
      </c>
    </row>
    <row r="1659" spans="1:20" x14ac:dyDescent="0.25">
      <c r="A1659">
        <v>21500502</v>
      </c>
      <c r="B1659" t="s">
        <v>10</v>
      </c>
      <c r="C1659" t="s">
        <v>9</v>
      </c>
      <c r="D1659">
        <v>70</v>
      </c>
      <c r="E1659">
        <v>65</v>
      </c>
      <c r="F1659">
        <v>5</v>
      </c>
      <c r="G1659">
        <v>3</v>
      </c>
      <c r="H1659" s="1">
        <v>5.2777777777777779E-3</v>
      </c>
      <c r="I1659">
        <v>2015</v>
      </c>
      <c r="J1659" t="s">
        <v>7</v>
      </c>
      <c r="K1659" s="2" t="str">
        <f>HYPERLINK("https://www.nba.com/stats/events?CFID=&amp;CFPARAMS=&amp;GameEventID=299&amp;GameID=0021500502&amp;Season=2015-16&amp;flag=1&amp;title=Green%2024'%203PT%20Jump%20Shot%20(18%20PTS)%20(Leonard%202%20AST)", "Green 24' 3PT Jump Shot (18 PTS) (Leonard 2 AST)")</f>
        <v>Green 24' 3PT Jump Shot (18 PTS) (Leonard 2 AST)</v>
      </c>
      <c r="L1659" s="2" t="str">
        <f>HYPERLINK("https://www.nba.com/game/...-vs-...-0021500502/play-by-play?watchFullGame=true", "SAS vs HOU - Q3 07:36.00")</f>
        <v>SAS vs HOU - Q3 07:36.00</v>
      </c>
      <c r="M1659">
        <v>24</v>
      </c>
      <c r="N1659">
        <v>243</v>
      </c>
      <c r="O1659">
        <v>-11</v>
      </c>
      <c r="P1659">
        <v>243</v>
      </c>
      <c r="Q1659">
        <v>-11</v>
      </c>
      <c r="R1659" t="s">
        <v>0</v>
      </c>
      <c r="S1659" t="s">
        <v>0</v>
      </c>
      <c r="T1659" t="s">
        <v>0</v>
      </c>
    </row>
    <row r="1660" spans="1:20" x14ac:dyDescent="0.25">
      <c r="A1660">
        <v>21500689</v>
      </c>
      <c r="B1660" t="s">
        <v>4</v>
      </c>
      <c r="C1660" t="s">
        <v>41</v>
      </c>
      <c r="D1660">
        <v>82</v>
      </c>
      <c r="E1660">
        <v>60</v>
      </c>
      <c r="F1660">
        <v>22</v>
      </c>
      <c r="G1660">
        <v>3</v>
      </c>
      <c r="H1660" s="1">
        <v>5.2546296296296299E-3</v>
      </c>
      <c r="I1660">
        <v>2015</v>
      </c>
      <c r="J1660" t="s">
        <v>7</v>
      </c>
      <c r="K1660" s="2" t="str">
        <f>HYPERLINK("https://www.nba.com/stats/events?CFID=&amp;CFPARAMS=&amp;GameEventID=362&amp;GameID=0021500689&amp;Season=2015-16&amp;flag=1&amp;title=Anderson%207'%20Turnaround%20Jump%20Shot%20(7%20PTS)%20(Leonard%201%20AST)", "Anderson 7' Turnaround Jump Shot (7 PTS) (Leonard 1 AST)")</f>
        <v>Anderson 7' Turnaround Jump Shot (7 PTS) (Leonard 1 AST)</v>
      </c>
      <c r="L1660" s="2" t="str">
        <f>HYPERLINK("https://www.nba.com/game/...-vs-...-0021500689/play-by-play?watchFullGame=true", "SAS vs HOU - Q3 07:34.00")</f>
        <v>SAS vs HOU - Q3 07:34.00</v>
      </c>
      <c r="M1660">
        <v>7</v>
      </c>
      <c r="N1660">
        <v>60</v>
      </c>
      <c r="O1660">
        <v>41</v>
      </c>
      <c r="P1660">
        <v>60</v>
      </c>
      <c r="Q1660">
        <v>41</v>
      </c>
      <c r="R1660" t="s">
        <v>0</v>
      </c>
      <c r="S1660" t="s">
        <v>0</v>
      </c>
      <c r="T1660" t="s">
        <v>0</v>
      </c>
    </row>
    <row r="1661" spans="1:20" x14ac:dyDescent="0.25">
      <c r="A1661">
        <v>21500705</v>
      </c>
      <c r="B1661" t="s">
        <v>10</v>
      </c>
      <c r="C1661" t="s">
        <v>9</v>
      </c>
      <c r="D1661">
        <v>72</v>
      </c>
      <c r="E1661">
        <v>64</v>
      </c>
      <c r="F1661">
        <v>8</v>
      </c>
      <c r="G1661">
        <v>3</v>
      </c>
      <c r="H1661" s="1">
        <v>1.9212962962962964E-3</v>
      </c>
      <c r="I1661">
        <v>2015</v>
      </c>
      <c r="J1661" t="s">
        <v>12</v>
      </c>
      <c r="K1661" s="2" t="str">
        <f>HYPERLINK("https://www.nba.com/stats/events?CFID=&amp;CFPARAMS=&amp;GameEventID=325&amp;GameID=0021500705&amp;Season=2015-16&amp;flag=1&amp;title=Lillard%2024'%203PT%20Jump%20Shot%20(13%20PTS)%20(Leonard%202%20AST)", "Lillard 24' 3PT Jump Shot (13 PTS) (Leonard 2 AST)")</f>
        <v>Lillard 24' 3PT Jump Shot (13 PTS) (Leonard 2 AST)</v>
      </c>
      <c r="L1661" s="2" t="str">
        <f>HYPERLINK("https://www.nba.com/game/...-vs-...-0021500705/play-by-play?watchFullGame=true", "POR vs CHA - Q3 02:46.00")</f>
        <v>POR vs CHA - Q3 02:46.00</v>
      </c>
      <c r="M1661">
        <v>24</v>
      </c>
      <c r="N1661">
        <v>-150</v>
      </c>
      <c r="O1661">
        <v>190</v>
      </c>
      <c r="P1661">
        <v>-150</v>
      </c>
      <c r="Q1661">
        <v>190</v>
      </c>
      <c r="R1661" t="s">
        <v>0</v>
      </c>
      <c r="S1661" t="s">
        <v>0</v>
      </c>
      <c r="T1661" t="s">
        <v>0</v>
      </c>
    </row>
    <row r="1662" spans="1:20" x14ac:dyDescent="0.25">
      <c r="A1662">
        <v>21500860</v>
      </c>
      <c r="B1662" t="s">
        <v>10</v>
      </c>
      <c r="C1662" t="s">
        <v>9</v>
      </c>
      <c r="D1662">
        <v>48</v>
      </c>
      <c r="E1662">
        <v>45</v>
      </c>
      <c r="F1662">
        <v>3</v>
      </c>
      <c r="G1662">
        <v>3</v>
      </c>
      <c r="H1662" s="1">
        <v>5.6597222222222222E-3</v>
      </c>
      <c r="I1662">
        <v>2015</v>
      </c>
      <c r="J1662" t="s">
        <v>7</v>
      </c>
      <c r="K1662" s="2" t="str">
        <f>HYPERLINK("https://www.nba.com/stats/events?CFID=&amp;CFPARAMS=&amp;GameEventID=240&amp;GameID=0021500860&amp;Season=2015-16&amp;flag=1&amp;title=Parker%2024'%203PT%20Jump%20Shot%20(7%20PTS)%20(Leonard%202%20AST)", "Parker 24' 3PT Jump Shot (7 PTS) (Leonard 2 AST)")</f>
        <v>Parker 24' 3PT Jump Shot (7 PTS) (Leonard 2 AST)</v>
      </c>
      <c r="L1662" s="2" t="str">
        <f>HYPERLINK("https://www.nba.com/game/...-vs-...-0021500860/play-by-play?watchFullGame=true", "SAS vs UTA - Q3 08:09.00")</f>
        <v>SAS vs UTA - Q3 08:09.00</v>
      </c>
      <c r="M1662">
        <v>24</v>
      </c>
      <c r="N1662">
        <v>-133</v>
      </c>
      <c r="O1662">
        <v>203</v>
      </c>
      <c r="P1662">
        <v>-133</v>
      </c>
      <c r="Q1662">
        <v>203</v>
      </c>
      <c r="R1662" t="s">
        <v>0</v>
      </c>
      <c r="S1662" t="s">
        <v>0</v>
      </c>
      <c r="T1662" t="s">
        <v>0</v>
      </c>
    </row>
    <row r="1663" spans="1:20" x14ac:dyDescent="0.25">
      <c r="A1663">
        <v>21500939</v>
      </c>
      <c r="B1663" t="s">
        <v>10</v>
      </c>
      <c r="C1663" t="s">
        <v>9</v>
      </c>
      <c r="D1663">
        <v>74</v>
      </c>
      <c r="E1663">
        <v>84</v>
      </c>
      <c r="F1663">
        <v>10</v>
      </c>
      <c r="G1663">
        <v>4</v>
      </c>
      <c r="H1663" s="1">
        <v>5.3819444444444444E-3</v>
      </c>
      <c r="I1663">
        <v>2015</v>
      </c>
      <c r="J1663" t="s">
        <v>7</v>
      </c>
      <c r="K1663" s="2" t="str">
        <f>HYPERLINK("https://www.nba.com/stats/events?CFID=&amp;CFPARAMS=&amp;GameEventID=431&amp;GameID=0021500939&amp;Season=2015-16&amp;flag=1&amp;title=Mills%2026'%203PT%20Jump%20Shot%20(13%20PTS)%20(Leonard%202%20AST)", "Mills 26' 3PT Jump Shot (13 PTS) (Leonard 2 AST)")</f>
        <v>Mills 26' 3PT Jump Shot (13 PTS) (Leonard 2 AST)</v>
      </c>
      <c r="L1663" s="2" t="str">
        <f>HYPERLINK("https://www.nba.com/game/...-vs-...-0021500939/play-by-play?watchFullGame=true", "SAS vs IND - Q4 07:45.00")</f>
        <v>SAS vs IND - Q4 07:45.00</v>
      </c>
      <c r="M1663">
        <v>26</v>
      </c>
      <c r="N1663">
        <v>195</v>
      </c>
      <c r="O1663">
        <v>178</v>
      </c>
      <c r="P1663">
        <v>195</v>
      </c>
      <c r="Q1663">
        <v>178</v>
      </c>
      <c r="R1663" t="s">
        <v>0</v>
      </c>
      <c r="S1663" t="s">
        <v>0</v>
      </c>
      <c r="T1663" t="s">
        <v>0</v>
      </c>
    </row>
    <row r="1664" spans="1:20" x14ac:dyDescent="0.25">
      <c r="A1664">
        <v>21600037</v>
      </c>
      <c r="B1664" t="s">
        <v>4</v>
      </c>
      <c r="C1664" t="s">
        <v>5</v>
      </c>
      <c r="D1664">
        <v>32</v>
      </c>
      <c r="E1664">
        <v>21</v>
      </c>
      <c r="F1664">
        <v>11</v>
      </c>
      <c r="G1664">
        <v>2</v>
      </c>
      <c r="H1664" s="1">
        <v>6.5856481481481478E-3</v>
      </c>
      <c r="I1664">
        <v>2016</v>
      </c>
      <c r="J1664" t="s">
        <v>7</v>
      </c>
      <c r="K1664" s="2" t="str">
        <f>HYPERLINK("https://www.nba.com/stats/events?CFID=&amp;CFPARAMS=&amp;GameEventID=147&amp;GameID=0021600037&amp;Season=2016-17&amp;flag=1&amp;title=Lee%202'%20Layup%20(2%20PTS)%20(Leonard%202%20AST)", "Lee 2' Layup (2 PTS) (Leonard 2 AST)")</f>
        <v>Lee 2' Layup (2 PTS) (Leonard 2 AST)</v>
      </c>
      <c r="L1664" s="2" t="str">
        <f>HYPERLINK("https://www.nba.com/game/...-vs-...-0021600037/play-by-play?watchFullGame=true", "SAS vs MIA - Q2 09:29.00")</f>
        <v>SAS vs MIA - Q2 09:29.00</v>
      </c>
      <c r="M1664">
        <v>2</v>
      </c>
      <c r="N1664">
        <v>9</v>
      </c>
      <c r="O1664">
        <v>16</v>
      </c>
      <c r="P1664">
        <v>9</v>
      </c>
      <c r="Q1664">
        <v>16</v>
      </c>
      <c r="R1664" t="s">
        <v>0</v>
      </c>
      <c r="S1664" t="s">
        <v>0</v>
      </c>
      <c r="T1664" t="s">
        <v>0</v>
      </c>
    </row>
    <row r="1665" spans="1:20" x14ac:dyDescent="0.25">
      <c r="A1665">
        <v>21400790</v>
      </c>
      <c r="B1665" t="s">
        <v>4</v>
      </c>
      <c r="C1665" t="s">
        <v>9</v>
      </c>
      <c r="D1665">
        <v>59</v>
      </c>
      <c r="E1665">
        <v>45</v>
      </c>
      <c r="F1665">
        <v>14</v>
      </c>
      <c r="G1665">
        <v>3</v>
      </c>
      <c r="H1665" s="1">
        <v>5.9027777777777776E-3</v>
      </c>
      <c r="I1665">
        <v>2014</v>
      </c>
      <c r="J1665" t="s">
        <v>7</v>
      </c>
      <c r="K1665" s="2" t="str">
        <f>HYPERLINK("https://www.nba.com/stats/events?CFID=&amp;CFPARAMS=&amp;GameEventID=274&amp;GameID=0021400790&amp;Season=2014-15&amp;flag=1&amp;title=Baynes%207'%20Jump%20Shot%20(10%20PTS)%20(Leonard%202%20AST)", "Baynes 7' Jump Shot (10 PTS) (Leonard 2 AST)")</f>
        <v>Baynes 7' Jump Shot (10 PTS) (Leonard 2 AST)</v>
      </c>
      <c r="L1665" s="2" t="str">
        <f>HYPERLINK("https://www.nba.com/game/...-vs-...-0021400790/play-by-play?watchFullGame=true", "SAS vs DET - Q3 08:30.00")</f>
        <v>SAS vs DET - Q3 08:30.00</v>
      </c>
      <c r="M1665">
        <v>7</v>
      </c>
      <c r="N1665">
        <v>-5</v>
      </c>
      <c r="O1665">
        <v>71</v>
      </c>
      <c r="P1665">
        <v>-5</v>
      </c>
      <c r="Q1665">
        <v>71</v>
      </c>
      <c r="R1665" t="s">
        <v>0</v>
      </c>
      <c r="S1665" t="s">
        <v>0</v>
      </c>
      <c r="T1665" t="s">
        <v>0</v>
      </c>
    </row>
    <row r="1666" spans="1:20" x14ac:dyDescent="0.25">
      <c r="A1666">
        <v>21401134</v>
      </c>
      <c r="B1666" t="s">
        <v>4</v>
      </c>
      <c r="C1666" t="s">
        <v>48</v>
      </c>
      <c r="D1666">
        <v>77</v>
      </c>
      <c r="E1666">
        <v>54</v>
      </c>
      <c r="F1666">
        <v>23</v>
      </c>
      <c r="G1666">
        <v>3</v>
      </c>
      <c r="H1666" s="1">
        <v>6.1111111111111114E-3</v>
      </c>
      <c r="I1666">
        <v>2014</v>
      </c>
      <c r="J1666" t="s">
        <v>7</v>
      </c>
      <c r="K1666" s="2" t="str">
        <f>HYPERLINK("https://www.nba.com/stats/events?CFID=&amp;CFPARAMS=&amp;GameEventID=258&amp;GameID=0021401134&amp;Season=2014-15&amp;flag=1&amp;title=Parker%207'%20Driving%20Bank%20Shot%20(4%20PTS)%20(Leonard%204%20AST)", "Parker 7' Driving Bank Shot (4 PTS) (Leonard 4 AST)")</f>
        <v>Parker 7' Driving Bank Shot (4 PTS) (Leonard 4 AST)</v>
      </c>
      <c r="L1666" s="2" t="str">
        <f>HYPERLINK("https://www.nba.com/game/...-vs-...-0021401134/play-by-play?watchFullGame=true", "SAS vs DEN - Q3 08:48.00")</f>
        <v>SAS vs DEN - Q3 08:48.00</v>
      </c>
      <c r="M1666">
        <v>7</v>
      </c>
      <c r="N1666">
        <v>62</v>
      </c>
      <c r="O1666">
        <v>28</v>
      </c>
      <c r="P1666">
        <v>62</v>
      </c>
      <c r="Q1666">
        <v>28</v>
      </c>
      <c r="R1666" t="s">
        <v>0</v>
      </c>
      <c r="S1666" t="s">
        <v>0</v>
      </c>
      <c r="T1666" t="s">
        <v>0</v>
      </c>
    </row>
    <row r="1667" spans="1:20" x14ac:dyDescent="0.25">
      <c r="A1667">
        <v>21401134</v>
      </c>
      <c r="B1667" t="s">
        <v>10</v>
      </c>
      <c r="C1667" t="s">
        <v>9</v>
      </c>
      <c r="D1667">
        <v>14</v>
      </c>
      <c r="E1667">
        <v>6</v>
      </c>
      <c r="F1667">
        <v>8</v>
      </c>
      <c r="G1667">
        <v>1</v>
      </c>
      <c r="H1667" s="1">
        <v>6.1342592592592594E-3</v>
      </c>
      <c r="I1667">
        <v>2014</v>
      </c>
      <c r="J1667" t="s">
        <v>7</v>
      </c>
      <c r="K1667" s="2" t="str">
        <f>HYPERLINK("https://www.nba.com/stats/events?CFID=&amp;CFPARAMS=&amp;GameEventID=25&amp;GameID=0021401134&amp;Season=2014-15&amp;flag=1&amp;title=Green%2025'%203PT%20Jump%20Shot%20(3%20PTS)%20(Leonard%201%20AST)", "Green 25' 3PT Jump Shot (3 PTS) (Leonard 1 AST)")</f>
        <v>Green 25' 3PT Jump Shot (3 PTS) (Leonard 1 AST)</v>
      </c>
      <c r="L1667" s="2" t="str">
        <f>HYPERLINK("https://www.nba.com/game/...-vs-...-0021401134/play-by-play?watchFullGame=true", "SAS vs DEN - Q1 08:50.00")</f>
        <v>SAS vs DEN - Q1 08:50.00</v>
      </c>
      <c r="M1667">
        <v>25</v>
      </c>
      <c r="N1667">
        <v>-187</v>
      </c>
      <c r="O1667">
        <v>167</v>
      </c>
      <c r="P1667">
        <v>-187</v>
      </c>
      <c r="Q1667">
        <v>167</v>
      </c>
      <c r="R1667" t="s">
        <v>0</v>
      </c>
      <c r="S1667" t="s">
        <v>0</v>
      </c>
      <c r="T1667" t="s">
        <v>0</v>
      </c>
    </row>
    <row r="1668" spans="1:20" x14ac:dyDescent="0.25">
      <c r="A1668">
        <v>21401157</v>
      </c>
      <c r="B1668" t="s">
        <v>10</v>
      </c>
      <c r="C1668" t="s">
        <v>9</v>
      </c>
      <c r="D1668">
        <v>16</v>
      </c>
      <c r="E1668">
        <v>7</v>
      </c>
      <c r="F1668">
        <v>9</v>
      </c>
      <c r="G1668">
        <v>1</v>
      </c>
      <c r="H1668" s="1">
        <v>3.449074074074074E-3</v>
      </c>
      <c r="I1668">
        <v>2014</v>
      </c>
      <c r="J1668" t="s">
        <v>7</v>
      </c>
      <c r="K1668" s="2" t="str">
        <f>HYPERLINK("https://www.nba.com/stats/events?CFID=&amp;CFPARAMS=&amp;GameEventID=78&amp;GameID=0021401157&amp;Season=2014-15&amp;flag=1&amp;title=Ginobili%2024'%203PT%20Jump%20Shot%20(3%20PTS)%20(Leonard%201%20AST)", "Ginobili 24' 3PT Jump Shot (3 PTS) (Leonard 1 AST)")</f>
        <v>Ginobili 24' 3PT Jump Shot (3 PTS) (Leonard 1 AST)</v>
      </c>
      <c r="L1668" s="2" t="str">
        <f>HYPERLINK("https://www.nba.com/game/...-vs-...-0021401157/play-by-play?watchFullGame=true", "SAS vs OKC - Q1 04:58.00")</f>
        <v>SAS vs OKC - Q1 04:58.00</v>
      </c>
      <c r="M1668">
        <v>24</v>
      </c>
      <c r="N1668">
        <v>-127</v>
      </c>
      <c r="O1668">
        <v>203</v>
      </c>
      <c r="P1668">
        <v>-127</v>
      </c>
      <c r="Q1668">
        <v>203</v>
      </c>
      <c r="R1668" t="s">
        <v>0</v>
      </c>
      <c r="S1668" t="s">
        <v>0</v>
      </c>
      <c r="T1668" t="s">
        <v>0</v>
      </c>
    </row>
    <row r="1669" spans="1:20" x14ac:dyDescent="0.25">
      <c r="A1669">
        <v>21401168</v>
      </c>
      <c r="B1669" t="s">
        <v>10</v>
      </c>
      <c r="C1669" t="s">
        <v>9</v>
      </c>
      <c r="D1669">
        <v>103</v>
      </c>
      <c r="E1669">
        <v>84</v>
      </c>
      <c r="F1669">
        <v>19</v>
      </c>
      <c r="G1669">
        <v>4</v>
      </c>
      <c r="H1669" s="1">
        <v>4.363425925925926E-3</v>
      </c>
      <c r="I1669">
        <v>2014</v>
      </c>
      <c r="J1669" t="s">
        <v>7</v>
      </c>
      <c r="K1669" s="2" t="str">
        <f>HYPERLINK("https://www.nba.com/stats/events?CFID=&amp;CFPARAMS=&amp;GameEventID=409&amp;GameID=0021401168&amp;Season=2014-15&amp;flag=1&amp;title=Green%2025'%203PT%20Jump%20Shot%20(7%20PTS)%20(Leonard%202%20AST)", "Green 25' 3PT Jump Shot (7 PTS) (Leonard 2 AST)")</f>
        <v>Green 25' 3PT Jump Shot (7 PTS) (Leonard 2 AST)</v>
      </c>
      <c r="L1669" s="2" t="str">
        <f>HYPERLINK("https://www.nba.com/game/...-vs-...-0021401168/play-by-play?watchFullGame=true", "SAS vs HOU - Q4 06:17.00")</f>
        <v>SAS vs HOU - Q4 06:17.00</v>
      </c>
      <c r="M1669">
        <v>25</v>
      </c>
      <c r="N1669">
        <v>4</v>
      </c>
      <c r="O1669">
        <v>247</v>
      </c>
      <c r="P1669">
        <v>4</v>
      </c>
      <c r="Q1669">
        <v>247</v>
      </c>
      <c r="R1669" t="s">
        <v>0</v>
      </c>
      <c r="S1669" t="s">
        <v>0</v>
      </c>
      <c r="T1669" t="s">
        <v>0</v>
      </c>
    </row>
    <row r="1670" spans="1:20" x14ac:dyDescent="0.25">
      <c r="A1670">
        <v>21500050</v>
      </c>
      <c r="B1670" t="s">
        <v>10</v>
      </c>
      <c r="C1670" t="s">
        <v>9</v>
      </c>
      <c r="D1670">
        <v>60</v>
      </c>
      <c r="E1670">
        <v>53</v>
      </c>
      <c r="F1670">
        <v>7</v>
      </c>
      <c r="G1670">
        <v>3</v>
      </c>
      <c r="H1670" s="1">
        <v>6.8055555555555551E-3</v>
      </c>
      <c r="I1670">
        <v>2015</v>
      </c>
      <c r="J1670" t="s">
        <v>12</v>
      </c>
      <c r="K1670" s="2" t="str">
        <f>HYPERLINK("https://www.nba.com/stats/events?CFID=&amp;CFPARAMS=&amp;GameEventID=283&amp;GameID=0021500050&amp;Season=2015-16&amp;flag=1&amp;title=McCollum%2024'%203PT%20Jump%20Shot%20(16%20PTS)%20(Leonard%201%20AST)", "McCollum 24' 3PT Jump Shot (16 PTS) (Leonard 1 AST)")</f>
        <v>McCollum 24' 3PT Jump Shot (16 PTS) (Leonard 1 AST)</v>
      </c>
      <c r="L1670" s="2" t="str">
        <f>HYPERLINK("https://www.nba.com/game/...-vs-...-0021500050/play-by-play?watchFullGame=true", "POR vs MIN - Q3 09:48.00")</f>
        <v>POR vs MIN - Q3 09:48.00</v>
      </c>
      <c r="M1670">
        <v>24</v>
      </c>
      <c r="N1670">
        <v>186</v>
      </c>
      <c r="O1670">
        <v>159</v>
      </c>
      <c r="P1670">
        <v>186</v>
      </c>
      <c r="Q1670">
        <v>159</v>
      </c>
      <c r="R1670" t="s">
        <v>0</v>
      </c>
      <c r="S1670" t="s">
        <v>0</v>
      </c>
      <c r="T1670" t="s">
        <v>0</v>
      </c>
    </row>
    <row r="1671" spans="1:20" x14ac:dyDescent="0.25">
      <c r="A1671">
        <v>21500102</v>
      </c>
      <c r="B1671" t="s">
        <v>10</v>
      </c>
      <c r="C1671" t="s">
        <v>9</v>
      </c>
      <c r="D1671">
        <v>50</v>
      </c>
      <c r="E1671">
        <v>48</v>
      </c>
      <c r="F1671">
        <v>2</v>
      </c>
      <c r="G1671">
        <v>2</v>
      </c>
      <c r="H1671" s="1">
        <v>2.4421296296296296E-3</v>
      </c>
      <c r="I1671">
        <v>2015</v>
      </c>
      <c r="J1671" t="s">
        <v>12</v>
      </c>
      <c r="K1671" s="2" t="str">
        <f>HYPERLINK("https://www.nba.com/stats/events?CFID=&amp;CFPARAMS=&amp;GameEventID=239&amp;GameID=0021500102&amp;Season=2015-16&amp;flag=1&amp;title=Crabbe%2026'%203PT%20Jump%20Shot%20(9%20PTS)%20(Leonard%202%20AST)", "Crabbe 26' 3PT Jump Shot (9 PTS) (Leonard 2 AST)")</f>
        <v>Crabbe 26' 3PT Jump Shot (9 PTS) (Leonard 2 AST)</v>
      </c>
      <c r="L1671" s="2" t="str">
        <f>HYPERLINK("https://www.nba.com/game/...-vs-...-0021500102/play-by-play?watchFullGame=true", "POR vs DEN - Q2 03:31.00")</f>
        <v>POR vs DEN - Q2 03:31.00</v>
      </c>
      <c r="M1671">
        <v>26</v>
      </c>
      <c r="N1671">
        <v>1</v>
      </c>
      <c r="O1671">
        <v>257</v>
      </c>
      <c r="P1671">
        <v>1</v>
      </c>
      <c r="Q1671">
        <v>257</v>
      </c>
      <c r="R1671" t="s">
        <v>0</v>
      </c>
      <c r="S1671" t="s">
        <v>0</v>
      </c>
      <c r="T1671" t="s">
        <v>0</v>
      </c>
    </row>
    <row r="1672" spans="1:20" x14ac:dyDescent="0.25">
      <c r="A1672">
        <v>21500123</v>
      </c>
      <c r="B1672" t="s">
        <v>4</v>
      </c>
      <c r="C1672" t="s">
        <v>30</v>
      </c>
      <c r="D1672">
        <v>41</v>
      </c>
      <c r="E1672">
        <v>51</v>
      </c>
      <c r="F1672">
        <v>10</v>
      </c>
      <c r="G1672">
        <v>2</v>
      </c>
      <c r="H1672" s="1">
        <v>1.8749999999999999E-3</v>
      </c>
      <c r="I1672">
        <v>2015</v>
      </c>
      <c r="J1672" t="s">
        <v>12</v>
      </c>
      <c r="K1672" s="2" t="str">
        <f>HYPERLINK("https://www.nba.com/stats/events?CFID=&amp;CFPARAMS=&amp;GameEventID=188&amp;GameID=0021500123&amp;Season=2015-16&amp;flag=1&amp;title=McCollum%2013'%20Turnaround%20Fadeaway%20(14%20PTS)%20(Leonard%201%20AST)", "McCollum 13' Turnaround Fadeaway (14 PTS) (Leonard 1 AST)")</f>
        <v>McCollum 13' Turnaround Fadeaway (14 PTS) (Leonard 1 AST)</v>
      </c>
      <c r="L1672" s="2" t="str">
        <f>HYPERLINK("https://www.nba.com/game/...-vs-...-0021500123/play-by-play?watchFullGame=true", "POR vs SAS - Q2 02:42.00")</f>
        <v>POR vs SAS - Q2 02:42.00</v>
      </c>
      <c r="M1672">
        <v>13</v>
      </c>
      <c r="N1672">
        <v>66</v>
      </c>
      <c r="O1672">
        <v>110</v>
      </c>
      <c r="P1672">
        <v>66</v>
      </c>
      <c r="Q1672">
        <v>110</v>
      </c>
      <c r="R1672" t="s">
        <v>0</v>
      </c>
      <c r="S1672" t="s">
        <v>0</v>
      </c>
      <c r="T1672" t="s">
        <v>0</v>
      </c>
    </row>
    <row r="1673" spans="1:20" x14ac:dyDescent="0.25">
      <c r="A1673">
        <v>21500482</v>
      </c>
      <c r="B1673" t="s">
        <v>4</v>
      </c>
      <c r="C1673" t="s">
        <v>19</v>
      </c>
      <c r="D1673">
        <v>91</v>
      </c>
      <c r="E1673">
        <v>80</v>
      </c>
      <c r="F1673">
        <v>11</v>
      </c>
      <c r="G1673">
        <v>4</v>
      </c>
      <c r="H1673" s="1">
        <v>6.3773148148148148E-3</v>
      </c>
      <c r="I1673">
        <v>2015</v>
      </c>
      <c r="J1673" t="s">
        <v>12</v>
      </c>
      <c r="K1673" s="2" t="str">
        <f>HYPERLINK("https://www.nba.com/stats/events?CFID=&amp;CFPARAMS=&amp;GameEventID=393&amp;GameID=0021500482&amp;Season=2015-16&amp;flag=1&amp;title=Aminu%2021'%20Pullup%20Jump%20Shot%20(12%20PTS)%20(Leonard%202%20AST)", "Aminu 21' Pullup Jump Shot (12 PTS) (Leonard 2 AST)")</f>
        <v>Aminu 21' Pullup Jump Shot (12 PTS) (Leonard 2 AST)</v>
      </c>
      <c r="L1673" s="2" t="str">
        <f>HYPERLINK("https://www.nba.com/game/...-vs-...-0021500482/play-by-play?watchFullGame=true", "POR vs DEN - Q4 09:11.00")</f>
        <v>POR vs DEN - Q4 09:11.00</v>
      </c>
      <c r="M1673">
        <v>21</v>
      </c>
      <c r="N1673">
        <v>9</v>
      </c>
      <c r="O1673">
        <v>214</v>
      </c>
      <c r="P1673">
        <v>9</v>
      </c>
      <c r="Q1673">
        <v>214</v>
      </c>
      <c r="R1673" t="s">
        <v>0</v>
      </c>
      <c r="S1673" t="s">
        <v>0</v>
      </c>
      <c r="T1673" t="s">
        <v>0</v>
      </c>
    </row>
    <row r="1674" spans="1:20" x14ac:dyDescent="0.25">
      <c r="A1674">
        <v>21500509</v>
      </c>
      <c r="B1674" t="s">
        <v>10</v>
      </c>
      <c r="C1674" t="s">
        <v>9</v>
      </c>
      <c r="D1674">
        <v>44</v>
      </c>
      <c r="E1674">
        <v>40</v>
      </c>
      <c r="F1674">
        <v>4</v>
      </c>
      <c r="G1674">
        <v>2</v>
      </c>
      <c r="H1674" s="1">
        <v>3.449074074074074E-3</v>
      </c>
      <c r="I1674">
        <v>2015</v>
      </c>
      <c r="J1674" t="s">
        <v>12</v>
      </c>
      <c r="K1674" s="2" t="str">
        <f>HYPERLINK("https://www.nba.com/stats/events?CFID=&amp;CFPARAMS=&amp;GameEventID=230&amp;GameID=0021500509&amp;Season=2015-16&amp;flag=1&amp;title=Frazier%2026'%203PT%20Jump%20Shot%20(5%20PTS)%20(Leonard%202%20AST)", "Frazier 26' 3PT Jump Shot (5 PTS) (Leonard 2 AST)")</f>
        <v>Frazier 26' 3PT Jump Shot (5 PTS) (Leonard 2 AST)</v>
      </c>
      <c r="L1674" s="2" t="str">
        <f>HYPERLINK("https://www.nba.com/game/...-vs-...-0021500509/play-by-play?watchFullGame=true", "POR vs DEN - Q2 04:58.00")</f>
        <v>POR vs DEN - Q2 04:58.00</v>
      </c>
      <c r="M1674">
        <v>26</v>
      </c>
      <c r="N1674">
        <v>-241</v>
      </c>
      <c r="O1674">
        <v>85</v>
      </c>
      <c r="P1674">
        <v>-241</v>
      </c>
      <c r="Q1674">
        <v>85</v>
      </c>
      <c r="R1674" t="s">
        <v>0</v>
      </c>
      <c r="S1674" t="s">
        <v>0</v>
      </c>
      <c r="T1674" t="s">
        <v>0</v>
      </c>
    </row>
    <row r="1675" spans="1:20" x14ac:dyDescent="0.25">
      <c r="A1675">
        <v>21500928</v>
      </c>
      <c r="B1675" t="s">
        <v>4</v>
      </c>
      <c r="C1675" t="s">
        <v>9</v>
      </c>
      <c r="D1675">
        <v>8</v>
      </c>
      <c r="E1675">
        <v>6</v>
      </c>
      <c r="F1675">
        <v>2</v>
      </c>
      <c r="G1675">
        <v>1</v>
      </c>
      <c r="H1675" s="1">
        <v>5.6944444444444447E-3</v>
      </c>
      <c r="I1675">
        <v>2015</v>
      </c>
      <c r="J1675" t="s">
        <v>7</v>
      </c>
      <c r="K1675" s="2" t="str">
        <f>HYPERLINK("https://www.nba.com/stats/events?CFID=&amp;CFPARAMS=&amp;GameEventID=29&amp;GameID=0021500928&amp;Season=2015-16&amp;flag=1&amp;title=West%206'%20Jump%20Shot%20(6%20PTS)%20(Leonard%201%20AST)", "West 6' Jump Shot (6 PTS) (Leonard 1 AST)")</f>
        <v>West 6' Jump Shot (6 PTS) (Leonard 1 AST)</v>
      </c>
      <c r="L1675" s="2" t="str">
        <f>HYPERLINK("https://www.nba.com/game/...-vs-...-0021500928/play-by-play?watchFullGame=true", "SAS vs SAC - Q1 08:12.00")</f>
        <v>SAS vs SAC - Q1 08:12.00</v>
      </c>
      <c r="M1675">
        <v>6</v>
      </c>
      <c r="N1675">
        <v>14</v>
      </c>
      <c r="O1675">
        <v>62</v>
      </c>
      <c r="P1675">
        <v>14</v>
      </c>
      <c r="Q1675">
        <v>62</v>
      </c>
      <c r="R1675" t="s">
        <v>0</v>
      </c>
      <c r="S1675" t="s">
        <v>0</v>
      </c>
      <c r="T1675" t="s">
        <v>0</v>
      </c>
    </row>
    <row r="1676" spans="1:20" x14ac:dyDescent="0.25">
      <c r="A1676">
        <v>21501001</v>
      </c>
      <c r="B1676" t="s">
        <v>4</v>
      </c>
      <c r="C1676" t="s">
        <v>26</v>
      </c>
      <c r="D1676">
        <v>2</v>
      </c>
      <c r="E1676">
        <v>4</v>
      </c>
      <c r="F1676">
        <v>2</v>
      </c>
      <c r="G1676">
        <v>1</v>
      </c>
      <c r="H1676" s="1">
        <v>6.898148148148148E-3</v>
      </c>
      <c r="I1676">
        <v>2015</v>
      </c>
      <c r="J1676" t="s">
        <v>7</v>
      </c>
      <c r="K1676" s="2" t="str">
        <f>HYPERLINK("https://www.nba.com/stats/events?CFID=&amp;CFPARAMS=&amp;GameEventID=14&amp;GameID=0021501001&amp;Season=2015-16&amp;flag=1&amp;title=Parker%201'%20Reverse%20Layup%20(2%20PTS)%20(Leonard%201%20AST)", "Parker 1' Reverse Layup (2 PTS) (Leonard 1 AST)")</f>
        <v>Parker 1' Reverse Layup (2 PTS) (Leonard 1 AST)</v>
      </c>
      <c r="L1676" s="2" t="str">
        <f>HYPERLINK("https://www.nba.com/game/...-vs-...-0021501001/play-by-play?watchFullGame=true", "SAS vs LAC - Q1 09:56.00")</f>
        <v>SAS vs LAC - Q1 09:56.00</v>
      </c>
      <c r="M1676">
        <v>1</v>
      </c>
      <c r="N1676">
        <v>-12</v>
      </c>
      <c r="O1676">
        <v>2</v>
      </c>
      <c r="P1676">
        <v>-12</v>
      </c>
      <c r="Q1676">
        <v>2</v>
      </c>
      <c r="R1676" t="s">
        <v>0</v>
      </c>
      <c r="S1676" t="s">
        <v>0</v>
      </c>
      <c r="T1676" t="s">
        <v>0</v>
      </c>
    </row>
    <row r="1677" spans="1:20" x14ac:dyDescent="0.25">
      <c r="A1677">
        <v>21501140</v>
      </c>
      <c r="B1677" t="s">
        <v>4</v>
      </c>
      <c r="C1677" t="s">
        <v>6</v>
      </c>
      <c r="D1677">
        <v>49</v>
      </c>
      <c r="E1677">
        <v>40</v>
      </c>
      <c r="F1677">
        <v>9</v>
      </c>
      <c r="G1677">
        <v>2</v>
      </c>
      <c r="H1677" s="1">
        <v>2.5231481481481481E-3</v>
      </c>
      <c r="I1677">
        <v>2015</v>
      </c>
      <c r="J1677" t="s">
        <v>7</v>
      </c>
      <c r="K1677" s="2" t="str">
        <f>HYPERLINK("https://www.nba.com/stats/events?CFID=&amp;CFPARAMS=&amp;GameEventID=179&amp;GameID=0021501140&amp;Season=2015-16&amp;flag=1&amp;title=Aldridge%20%20Cutting%20Dunk%20Shot%20(17%20PTS)%20(Leonard%205%20AST)", "Aldridge  Cutting Dunk Shot (17 PTS) (Leonard 5 AST)")</f>
        <v>Aldridge  Cutting Dunk Shot (17 PTS) (Leonard 5 AST)</v>
      </c>
      <c r="L1677" s="2" t="str">
        <f>HYPERLINK("https://www.nba.com/game/...-vs-...-0021501140/play-by-play?watchFullGame=true", "SAS vs TOR - Q2 03:38.00")</f>
        <v>SAS vs TOR - Q2 03:38.00</v>
      </c>
      <c r="M1677">
        <v>0</v>
      </c>
      <c r="N1677">
        <v>0</v>
      </c>
      <c r="O1677">
        <v>1</v>
      </c>
      <c r="P1677">
        <v>0</v>
      </c>
      <c r="Q1677">
        <v>1</v>
      </c>
      <c r="R1677" t="s">
        <v>0</v>
      </c>
      <c r="S1677" t="s">
        <v>0</v>
      </c>
      <c r="T1677" t="s">
        <v>0</v>
      </c>
    </row>
    <row r="1678" spans="1:20" x14ac:dyDescent="0.25">
      <c r="A1678">
        <v>21600037</v>
      </c>
      <c r="B1678" t="s">
        <v>4</v>
      </c>
      <c r="C1678" t="s">
        <v>6</v>
      </c>
      <c r="D1678">
        <v>59</v>
      </c>
      <c r="E1678">
        <v>47</v>
      </c>
      <c r="F1678">
        <v>12</v>
      </c>
      <c r="G1678">
        <v>3</v>
      </c>
      <c r="H1678" s="1">
        <v>7.1643518518518514E-3</v>
      </c>
      <c r="I1678">
        <v>2016</v>
      </c>
      <c r="J1678" t="s">
        <v>7</v>
      </c>
      <c r="K1678" s="2" t="str">
        <f>HYPERLINK("https://www.nba.com/stats/events?CFID=&amp;CFPARAMS=&amp;GameEventID=282&amp;GameID=0021600037&amp;Season=2016-17&amp;flag=1&amp;title=Lee%20Cutting%20Dunk%20Shot%20(8%20PTS)%20(Leonard%205%20AST)", "Lee Cutting Dunk Shot (8 PTS) (Leonard 5 AST)")</f>
        <v>Lee Cutting Dunk Shot (8 PTS) (Leonard 5 AST)</v>
      </c>
      <c r="L1678" s="2" t="str">
        <f>HYPERLINK("https://www.nba.com/game/...-vs-...-0021600037/play-by-play?watchFullGame=true", "SAS vs MIA - Q3 10:19.00")</f>
        <v>SAS vs MIA - Q3 10:19.00</v>
      </c>
      <c r="M1678">
        <v>0</v>
      </c>
      <c r="N1678">
        <v>0</v>
      </c>
      <c r="O1678">
        <v>1</v>
      </c>
      <c r="P1678">
        <v>0</v>
      </c>
      <c r="Q1678">
        <v>1</v>
      </c>
      <c r="R1678" t="s">
        <v>0</v>
      </c>
      <c r="S1678" t="s">
        <v>0</v>
      </c>
      <c r="T1678" t="s">
        <v>0</v>
      </c>
    </row>
    <row r="1679" spans="1:20" x14ac:dyDescent="0.25">
      <c r="A1679">
        <v>21600037</v>
      </c>
      <c r="B1679" t="s">
        <v>10</v>
      </c>
      <c r="C1679" t="s">
        <v>9</v>
      </c>
      <c r="D1679">
        <v>39</v>
      </c>
      <c r="E1679">
        <v>25</v>
      </c>
      <c r="F1679">
        <v>14</v>
      </c>
      <c r="G1679">
        <v>2</v>
      </c>
      <c r="H1679" s="1">
        <v>4.8958333333333336E-3</v>
      </c>
      <c r="I1679">
        <v>2016</v>
      </c>
      <c r="J1679" t="s">
        <v>7</v>
      </c>
      <c r="K1679" s="2" t="str">
        <f>HYPERLINK("https://www.nba.com/stats/events?CFID=&amp;CFPARAMS=&amp;GameEventID=177&amp;GameID=0021600037&amp;Season=2016-17&amp;flag=1&amp;title=Parker%2025'%203PT%20Jump%20Shot%20(3%20PTS)%20(Leonard%203%20AST)", "Parker 25' 3PT Jump Shot (3 PTS) (Leonard 3 AST)")</f>
        <v>Parker 25' 3PT Jump Shot (3 PTS) (Leonard 3 AST)</v>
      </c>
      <c r="L1679" s="2" t="str">
        <f>HYPERLINK("https://www.nba.com/game/...-vs-...-0021600037/play-by-play?watchFullGame=true", "SAS vs MIA - Q2 07:03.00")</f>
        <v>SAS vs MIA - Q2 07:03.00</v>
      </c>
      <c r="M1679">
        <v>25</v>
      </c>
      <c r="N1679">
        <v>245</v>
      </c>
      <c r="O1679">
        <v>11</v>
      </c>
      <c r="P1679">
        <v>245</v>
      </c>
      <c r="Q1679">
        <v>11</v>
      </c>
      <c r="R1679" t="s">
        <v>0</v>
      </c>
      <c r="S1679" t="s">
        <v>0</v>
      </c>
      <c r="T1679" t="s">
        <v>0</v>
      </c>
    </row>
    <row r="1680" spans="1:20" x14ac:dyDescent="0.25">
      <c r="A1680">
        <v>21600336</v>
      </c>
      <c r="B1680" t="s">
        <v>10</v>
      </c>
      <c r="C1680" t="s">
        <v>9</v>
      </c>
      <c r="D1680">
        <v>55</v>
      </c>
      <c r="E1680">
        <v>67</v>
      </c>
      <c r="F1680">
        <v>12</v>
      </c>
      <c r="G1680">
        <v>3</v>
      </c>
      <c r="H1680" s="1">
        <v>2.5000000000000001E-3</v>
      </c>
      <c r="I1680">
        <v>2016</v>
      </c>
      <c r="J1680" t="s">
        <v>7</v>
      </c>
      <c r="K1680" s="2" t="str">
        <f>HYPERLINK("https://www.nba.com/stats/events?CFID=&amp;CFPARAMS=&amp;GameEventID=350&amp;GameID=0021600336&amp;Season=2016-17&amp;flag=1&amp;title=Mills%2025'%203PT%20Jump%20Shot%20(8%20PTS)%20(Leonard%203%20AST)", "Mills 25' 3PT Jump Shot (8 PTS) (Leonard 3 AST)")</f>
        <v>Mills 25' 3PT Jump Shot (8 PTS) (Leonard 3 AST)</v>
      </c>
      <c r="L1680" s="2" t="str">
        <f>HYPERLINK("https://www.nba.com/game/...-vs-...-0021600336/play-by-play?watchFullGame=true", "SAS vs CHI - Q3 03:36.00")</f>
        <v>SAS vs CHI - Q3 03:36.00</v>
      </c>
      <c r="M1680">
        <v>25</v>
      </c>
      <c r="N1680">
        <v>169</v>
      </c>
      <c r="O1680">
        <v>188</v>
      </c>
      <c r="P1680">
        <v>169</v>
      </c>
      <c r="Q1680">
        <v>188</v>
      </c>
      <c r="R1680" t="s">
        <v>0</v>
      </c>
      <c r="S1680" t="s">
        <v>0</v>
      </c>
      <c r="T1680" t="s">
        <v>0</v>
      </c>
    </row>
    <row r="1681" spans="1:20" x14ac:dyDescent="0.25">
      <c r="A1681">
        <v>21300480</v>
      </c>
      <c r="B1681" t="s">
        <v>10</v>
      </c>
      <c r="C1681" t="s">
        <v>9</v>
      </c>
      <c r="D1681">
        <v>124</v>
      </c>
      <c r="E1681">
        <v>94</v>
      </c>
      <c r="F1681">
        <v>30</v>
      </c>
      <c r="G1681">
        <v>4</v>
      </c>
      <c r="H1681" s="1">
        <v>2.3495370370370371E-3</v>
      </c>
      <c r="I1681">
        <v>2013</v>
      </c>
      <c r="J1681" t="s">
        <v>12</v>
      </c>
      <c r="K1681" s="2" t="str">
        <f>HYPERLINK("https://www.nba.com/stats/events?CFID=&amp;CFPARAMS=&amp;GameEventID=450&amp;GameID=0021300480&amp;Season=2013-14&amp;flag=1&amp;title=Barton%2025'%203PT%20Jump%20Shot%20(10%20PTS)%20(Leonard%202%20AST)", "Barton 25' 3PT Jump Shot (10 PTS) (Leonard 2 AST)")</f>
        <v>Barton 25' 3PT Jump Shot (10 PTS) (Leonard 2 AST)</v>
      </c>
      <c r="L1681" s="2" t="str">
        <f>HYPERLINK("https://www.nba.com/game/...-vs-...-0021300480/play-by-play?watchFullGame=true", "POR vs CHA - Q4 03:23.00")</f>
        <v>POR vs CHA - Q4 03:23.00</v>
      </c>
      <c r="M1681">
        <v>25</v>
      </c>
      <c r="N1681">
        <v>78</v>
      </c>
      <c r="O1681">
        <v>238</v>
      </c>
      <c r="P1681">
        <v>78</v>
      </c>
      <c r="Q1681">
        <v>238</v>
      </c>
      <c r="R1681" t="s">
        <v>0</v>
      </c>
      <c r="S1681" t="s">
        <v>0</v>
      </c>
      <c r="T1681" t="s">
        <v>0</v>
      </c>
    </row>
    <row r="1682" spans="1:20" x14ac:dyDescent="0.25">
      <c r="A1682">
        <v>21300554</v>
      </c>
      <c r="B1682" t="s">
        <v>10</v>
      </c>
      <c r="C1682" t="s">
        <v>9</v>
      </c>
      <c r="D1682">
        <v>91</v>
      </c>
      <c r="E1682">
        <v>77</v>
      </c>
      <c r="F1682">
        <v>14</v>
      </c>
      <c r="G1682">
        <v>4</v>
      </c>
      <c r="H1682" s="1">
        <v>5.324074074074074E-3</v>
      </c>
      <c r="I1682">
        <v>2013</v>
      </c>
      <c r="J1682" t="s">
        <v>7</v>
      </c>
      <c r="K1682" s="2" t="str">
        <f>HYPERLINK("https://www.nba.com/stats/events?CFID=&amp;CFPARAMS=&amp;GameEventID=402&amp;GameID=0021300554&amp;Season=2013-14&amp;flag=1&amp;title=Bonner%2024'%203PT%20Jump%20Shot%20(14%20PTS)%20(Leonard%202%20AST)", "Bonner 24' 3PT Jump Shot (14 PTS) (Leonard 2 AST)")</f>
        <v>Bonner 24' 3PT Jump Shot (14 PTS) (Leonard 2 AST)</v>
      </c>
      <c r="L1682" s="2" t="str">
        <f>HYPERLINK("https://www.nba.com/game/...-vs-...-0021300554/play-by-play?watchFullGame=true", "SAS vs MIN - Q4 07:40.00")</f>
        <v>SAS vs MIN - Q4 07:40.00</v>
      </c>
      <c r="M1682">
        <v>24</v>
      </c>
      <c r="N1682">
        <v>236</v>
      </c>
      <c r="O1682">
        <v>-6</v>
      </c>
      <c r="P1682">
        <v>236</v>
      </c>
      <c r="Q1682">
        <v>-6</v>
      </c>
      <c r="R1682" t="s">
        <v>0</v>
      </c>
      <c r="S1682" t="s">
        <v>0</v>
      </c>
      <c r="T1682" t="s">
        <v>0</v>
      </c>
    </row>
    <row r="1683" spans="1:20" x14ac:dyDescent="0.25">
      <c r="A1683">
        <v>21300859</v>
      </c>
      <c r="B1683" t="s">
        <v>10</v>
      </c>
      <c r="C1683" t="s">
        <v>9</v>
      </c>
      <c r="D1683">
        <v>3</v>
      </c>
      <c r="E1683">
        <v>0</v>
      </c>
      <c r="F1683">
        <v>3</v>
      </c>
      <c r="G1683">
        <v>1</v>
      </c>
      <c r="H1683" s="1">
        <v>7.5115740740740742E-3</v>
      </c>
      <c r="I1683">
        <v>2013</v>
      </c>
      <c r="J1683" t="s">
        <v>7</v>
      </c>
      <c r="K1683" s="2" t="str">
        <f>HYPERLINK("https://www.nba.com/stats/events?CFID=&amp;CFPARAMS=&amp;GameEventID=10&amp;GameID=0021300859&amp;Season=2013-14&amp;flag=1&amp;title=Green%2024'%203PT%20Jump%20Shot%20(3%20PTS)%20(Leonard%201%20AST)", "Green 24' 3PT Jump Shot (3 PTS) (Leonard 1 AST)")</f>
        <v>Green 24' 3PT Jump Shot (3 PTS) (Leonard 1 AST)</v>
      </c>
      <c r="L1683" s="2" t="str">
        <f>HYPERLINK("https://www.nba.com/game/...-vs-...-0021300859/play-by-play?watchFullGame=true", "SAS vs DET - Q1 10:49.00")</f>
        <v>SAS vs DET - Q1 10:49.00</v>
      </c>
      <c r="M1683">
        <v>24</v>
      </c>
      <c r="N1683">
        <v>-187</v>
      </c>
      <c r="O1683">
        <v>153</v>
      </c>
      <c r="P1683">
        <v>-187</v>
      </c>
      <c r="Q1683">
        <v>153</v>
      </c>
      <c r="R1683" t="s">
        <v>0</v>
      </c>
      <c r="S1683" t="s">
        <v>0</v>
      </c>
      <c r="T1683" t="s">
        <v>0</v>
      </c>
    </row>
    <row r="1684" spans="1:20" x14ac:dyDescent="0.25">
      <c r="A1684">
        <v>21301154</v>
      </c>
      <c r="B1684" t="s">
        <v>4</v>
      </c>
      <c r="C1684" t="s">
        <v>5</v>
      </c>
      <c r="D1684">
        <v>63</v>
      </c>
      <c r="E1684">
        <v>43</v>
      </c>
      <c r="F1684">
        <v>20</v>
      </c>
      <c r="G1684">
        <v>3</v>
      </c>
      <c r="H1684" s="1">
        <v>6.5393518518518517E-3</v>
      </c>
      <c r="I1684">
        <v>2013</v>
      </c>
      <c r="J1684" t="s">
        <v>7</v>
      </c>
      <c r="K1684" s="2" t="str">
        <f>HYPERLINK("https://www.nba.com/stats/events?CFID=&amp;CFPARAMS=&amp;GameEventID=268&amp;GameID=0021301154&amp;Season=2013-14&amp;flag=1&amp;title=Joseph%201'%20Layup%20(4%20PTS)%20(Leonard%205%20AST)", "Joseph 1' Layup (4 PTS) (Leonard 5 AST)")</f>
        <v>Joseph 1' Layup (4 PTS) (Leonard 5 AST)</v>
      </c>
      <c r="L1684" s="2" t="str">
        <f>HYPERLINK("https://www.nba.com/game/...-vs-...-0021301154/play-by-play?watchFullGame=true", "SAS vs MEM - Q3 09:25.00")</f>
        <v>SAS vs MEM - Q3 09:25.00</v>
      </c>
      <c r="M1684">
        <v>1</v>
      </c>
      <c r="N1684">
        <v>0</v>
      </c>
      <c r="O1684">
        <v>12</v>
      </c>
      <c r="P1684">
        <v>0</v>
      </c>
      <c r="Q1684">
        <v>12</v>
      </c>
      <c r="R1684" t="s">
        <v>0</v>
      </c>
      <c r="S1684" t="s">
        <v>0</v>
      </c>
      <c r="T1684" t="s">
        <v>0</v>
      </c>
    </row>
    <row r="1685" spans="1:20" x14ac:dyDescent="0.25">
      <c r="A1685">
        <v>21400024</v>
      </c>
      <c r="B1685" t="s">
        <v>4</v>
      </c>
      <c r="C1685" t="s">
        <v>9</v>
      </c>
      <c r="D1685">
        <v>8</v>
      </c>
      <c r="E1685">
        <v>6</v>
      </c>
      <c r="F1685">
        <v>2</v>
      </c>
      <c r="G1685">
        <v>1</v>
      </c>
      <c r="H1685" s="1">
        <v>5.2546296296296299E-3</v>
      </c>
      <c r="I1685">
        <v>2014</v>
      </c>
      <c r="J1685" t="s">
        <v>7</v>
      </c>
      <c r="K1685" s="2" t="str">
        <f>HYPERLINK("https://www.nba.com/stats/events?CFID=&amp;CFPARAMS=&amp;GameEventID=38&amp;GameID=0021400024&amp;Season=2014-15&amp;flag=1&amp;title=Duncan%2018'%20Jump%20Shot%20(2%20PTS)%20(Leonard%201%20AST)", "Duncan 18' Jump Shot (2 PTS) (Leonard 1 AST)")</f>
        <v>Duncan 18' Jump Shot (2 PTS) (Leonard 1 AST)</v>
      </c>
      <c r="L1685" s="2" t="str">
        <f>HYPERLINK("https://www.nba.com/game/...-vs-...-0021400024/play-by-play?watchFullGame=true", "SAS vs PHX - Q1 07:34.00")</f>
        <v>SAS vs PHX - Q1 07:34.00</v>
      </c>
      <c r="M1685">
        <v>18</v>
      </c>
      <c r="N1685">
        <v>78</v>
      </c>
      <c r="O1685">
        <v>167</v>
      </c>
      <c r="P1685">
        <v>78</v>
      </c>
      <c r="Q1685">
        <v>167</v>
      </c>
      <c r="R1685" t="s">
        <v>0</v>
      </c>
      <c r="S1685" t="s">
        <v>0</v>
      </c>
      <c r="T1685" t="s">
        <v>0</v>
      </c>
    </row>
    <row r="1686" spans="1:20" x14ac:dyDescent="0.25">
      <c r="A1686">
        <v>21400096</v>
      </c>
      <c r="B1686" t="s">
        <v>10</v>
      </c>
      <c r="C1686" t="s">
        <v>9</v>
      </c>
      <c r="D1686">
        <v>116</v>
      </c>
      <c r="E1686">
        <v>98</v>
      </c>
      <c r="F1686">
        <v>18</v>
      </c>
      <c r="G1686">
        <v>4</v>
      </c>
      <c r="H1686" s="1">
        <v>2.4189814814814812E-4</v>
      </c>
      <c r="I1686">
        <v>2014</v>
      </c>
      <c r="J1686" t="s">
        <v>12</v>
      </c>
      <c r="K1686" s="2" t="str">
        <f>HYPERLINK("https://www.nba.com/stats/events?CFID=&amp;CFPARAMS=&amp;GameEventID=561&amp;GameID=0021400096&amp;Season=2014-15&amp;flag=1&amp;title=Barton%2026'%203PT%20Jump%20Shot%20(3%20PTS)%20(Leonard%201%20AST)", "Barton 26' 3PT Jump Shot (3 PTS) (Leonard 1 AST)")</f>
        <v>Barton 26' 3PT Jump Shot (3 PTS) (Leonard 1 AST)</v>
      </c>
      <c r="L1686" s="2" t="str">
        <f>HYPERLINK("https://www.nba.com/game/...-vs-...-0021400096/play-by-play?watchFullGame=true", "POR vs DEN - Q4 00:20.90")</f>
        <v>POR vs DEN - Q4 00:20.90</v>
      </c>
      <c r="M1686">
        <v>26</v>
      </c>
      <c r="N1686">
        <v>0</v>
      </c>
      <c r="O1686">
        <v>257</v>
      </c>
      <c r="P1686">
        <v>0</v>
      </c>
      <c r="Q1686">
        <v>257</v>
      </c>
      <c r="R1686" t="s">
        <v>0</v>
      </c>
      <c r="S1686" t="s">
        <v>0</v>
      </c>
      <c r="T1686" t="s">
        <v>0</v>
      </c>
    </row>
    <row r="1687" spans="1:20" x14ac:dyDescent="0.25">
      <c r="A1687">
        <v>21400138</v>
      </c>
      <c r="B1687" t="s">
        <v>10</v>
      </c>
      <c r="C1687" t="s">
        <v>19</v>
      </c>
      <c r="D1687">
        <v>91</v>
      </c>
      <c r="E1687">
        <v>82</v>
      </c>
      <c r="F1687">
        <v>9</v>
      </c>
      <c r="G1687">
        <v>4</v>
      </c>
      <c r="H1687" s="1">
        <v>1.8865740740740742E-3</v>
      </c>
      <c r="I1687">
        <v>2014</v>
      </c>
      <c r="J1687" t="s">
        <v>12</v>
      </c>
      <c r="K1687" s="2" t="str">
        <f>HYPERLINK("https://www.nba.com/stats/events?CFID=&amp;CFPARAMS=&amp;GameEventID=469&amp;GameID=0021400138&amp;Season=2014-15&amp;flag=1&amp;title=Matthews%20%203PT%20Pullup%20Jump%20Shot%20(10%20PTS)%20(Leonard%201%20AST)", "Matthews  3PT Pullup Jump Shot (10 PTS) (Leonard 1 AST)")</f>
        <v>Matthews  3PT Pullup Jump Shot (10 PTS) (Leonard 1 AST)</v>
      </c>
      <c r="L1687" s="2" t="str">
        <f>HYPERLINK("https://www.nba.com/game/...-vs-...-0021400138/play-by-play?watchFullGame=true", "POR vs BKN - Q4 02:43.00")</f>
        <v>POR vs BKN - Q4 02:43.00</v>
      </c>
      <c r="M1687">
        <v>0</v>
      </c>
      <c r="N1687">
        <v>230</v>
      </c>
      <c r="O1687">
        <v>0</v>
      </c>
      <c r="P1687">
        <v>230</v>
      </c>
      <c r="Q1687">
        <v>0</v>
      </c>
      <c r="R1687" t="s">
        <v>0</v>
      </c>
      <c r="S1687" t="s">
        <v>0</v>
      </c>
      <c r="T1687" t="s">
        <v>0</v>
      </c>
    </row>
    <row r="1688" spans="1:20" x14ac:dyDescent="0.25">
      <c r="A1688">
        <v>21400159</v>
      </c>
      <c r="B1688" t="s">
        <v>4</v>
      </c>
      <c r="C1688" t="s">
        <v>9</v>
      </c>
      <c r="D1688">
        <v>33</v>
      </c>
      <c r="E1688">
        <v>36</v>
      </c>
      <c r="F1688">
        <v>3</v>
      </c>
      <c r="G1688">
        <v>2</v>
      </c>
      <c r="H1688" s="1">
        <v>3.6458333333333334E-3</v>
      </c>
      <c r="I1688">
        <v>2014</v>
      </c>
      <c r="J1688" t="s">
        <v>7</v>
      </c>
      <c r="K1688" s="2" t="str">
        <f>HYPERLINK("https://www.nba.com/stats/events?CFID=&amp;CFPARAMS=&amp;GameEventID=192&amp;GameID=0021400159&amp;Season=2014-15&amp;flag=1&amp;title=Diaw%207'%20Jump%20Shot%20(9%20PTS)%20(Leonard%202%20AST)", "Diaw 7' Jump Shot (9 PTS) (Leonard 2 AST)")</f>
        <v>Diaw 7' Jump Shot (9 PTS) (Leonard 2 AST)</v>
      </c>
      <c r="L1688" s="2" t="str">
        <f>HYPERLINK("https://www.nba.com/game/...-vs-...-0021400159/play-by-play?watchFullGame=true", "SAS vs CLE - Q2 05:15.00")</f>
        <v>SAS vs CLE - Q2 05:15.00</v>
      </c>
      <c r="M1688">
        <v>7</v>
      </c>
      <c r="N1688">
        <v>-37</v>
      </c>
      <c r="O1688">
        <v>56</v>
      </c>
      <c r="P1688">
        <v>-37</v>
      </c>
      <c r="Q1688">
        <v>56</v>
      </c>
      <c r="R1688" t="s">
        <v>0</v>
      </c>
      <c r="S1688" t="s">
        <v>0</v>
      </c>
      <c r="T1688" t="s">
        <v>0</v>
      </c>
    </row>
    <row r="1689" spans="1:20" x14ac:dyDescent="0.25">
      <c r="A1689">
        <v>21500532</v>
      </c>
      <c r="B1689" t="s">
        <v>10</v>
      </c>
      <c r="C1689" t="s">
        <v>9</v>
      </c>
      <c r="D1689">
        <v>54</v>
      </c>
      <c r="E1689">
        <v>34</v>
      </c>
      <c r="F1689">
        <v>20</v>
      </c>
      <c r="G1689">
        <v>2</v>
      </c>
      <c r="H1689" s="1">
        <v>3.425925925925926E-3</v>
      </c>
      <c r="I1689">
        <v>2015</v>
      </c>
      <c r="J1689" t="s">
        <v>7</v>
      </c>
      <c r="K1689" s="2" t="str">
        <f>HYPERLINK("https://www.nba.com/stats/events?CFID=&amp;CFPARAMS=&amp;GameEventID=177&amp;GameID=0021500532&amp;Season=2015-16&amp;flag=1&amp;title=Green%20%203PT%20Jump%20Shot%20(6%20PTS)%20(Leonard%203%20AST)", "Green  3PT Jump Shot (6 PTS) (Leonard 3 AST)")</f>
        <v>Green  3PT Jump Shot (6 PTS) (Leonard 3 AST)</v>
      </c>
      <c r="L1689" s="2" t="str">
        <f>HYPERLINK("https://www.nba.com/game/...-vs-...-0021500532/play-by-play?watchFullGame=true", "SAS vs UTA - Q2 04:56.00")</f>
        <v>SAS vs UTA - Q2 04:56.00</v>
      </c>
      <c r="M1689">
        <v>0</v>
      </c>
      <c r="N1689">
        <v>227</v>
      </c>
      <c r="O1689">
        <v>13</v>
      </c>
      <c r="P1689">
        <v>227</v>
      </c>
      <c r="Q1689">
        <v>13</v>
      </c>
      <c r="R1689" t="s">
        <v>0</v>
      </c>
      <c r="S1689" t="s">
        <v>0</v>
      </c>
      <c r="T1689" t="s">
        <v>0</v>
      </c>
    </row>
    <row r="1690" spans="1:20" x14ac:dyDescent="0.25">
      <c r="A1690">
        <v>21500713</v>
      </c>
      <c r="B1690" t="s">
        <v>10</v>
      </c>
      <c r="C1690" t="s">
        <v>9</v>
      </c>
      <c r="D1690">
        <v>22</v>
      </c>
      <c r="E1690">
        <v>26</v>
      </c>
      <c r="F1690">
        <v>4</v>
      </c>
      <c r="G1690">
        <v>1</v>
      </c>
      <c r="H1690" s="1">
        <v>2.0138888888888888E-3</v>
      </c>
      <c r="I1690">
        <v>2015</v>
      </c>
      <c r="J1690" t="s">
        <v>7</v>
      </c>
      <c r="K1690" s="2" t="str">
        <f>HYPERLINK("https://www.nba.com/stats/events?CFID=&amp;CFPARAMS=&amp;GameEventID=88&amp;GameID=0021500713&amp;Season=2015-16&amp;flag=1&amp;title=Ginobili%2026'%203PT%20Jump%20Shot%20(3%20PTS)%20(Leonard%201%20AST)", "Ginobili 26' 3PT Jump Shot (3 PTS) (Leonard 1 AST)")</f>
        <v>Ginobili 26' 3PT Jump Shot (3 PTS) (Leonard 1 AST)</v>
      </c>
      <c r="L1690" s="2" t="str">
        <f>HYPERLINK("https://www.nba.com/game/...-vs-...-0021500713/play-by-play?watchFullGame=true", "SAS vs CLE - Q1 02:54.00")</f>
        <v>SAS vs CLE - Q1 02:54.00</v>
      </c>
      <c r="M1690">
        <v>26</v>
      </c>
      <c r="N1690">
        <v>-191</v>
      </c>
      <c r="O1690">
        <v>169</v>
      </c>
      <c r="P1690">
        <v>-191</v>
      </c>
      <c r="Q1690">
        <v>169</v>
      </c>
      <c r="R1690" t="s">
        <v>0</v>
      </c>
      <c r="S1690" t="s">
        <v>0</v>
      </c>
      <c r="T1690" t="s">
        <v>0</v>
      </c>
    </row>
    <row r="1691" spans="1:20" x14ac:dyDescent="0.25">
      <c r="A1691">
        <v>21500948</v>
      </c>
      <c r="B1691" t="s">
        <v>10</v>
      </c>
      <c r="C1691" t="s">
        <v>9</v>
      </c>
      <c r="D1691">
        <v>25</v>
      </c>
      <c r="E1691">
        <v>17</v>
      </c>
      <c r="F1691">
        <v>8</v>
      </c>
      <c r="G1691">
        <v>1</v>
      </c>
      <c r="H1691" s="1">
        <v>1.8402777777777777E-3</v>
      </c>
      <c r="I1691">
        <v>2015</v>
      </c>
      <c r="J1691" t="s">
        <v>12</v>
      </c>
      <c r="K1691" s="2" t="str">
        <f>HYPERLINK("https://www.nba.com/stats/events?CFID=&amp;CFPARAMS=&amp;GameEventID=77&amp;GameID=0021500948&amp;Season=2015-16&amp;flag=1&amp;title=Lillard%2028'%203PT%20Jump%20Shot%20(13%20PTS)%20(Leonard%201%20AST)", "Lillard 28' 3PT Jump Shot (13 PTS) (Leonard 1 AST)")</f>
        <v>Lillard 28' 3PT Jump Shot (13 PTS) (Leonard 1 AST)</v>
      </c>
      <c r="L1691" s="2" t="str">
        <f>HYPERLINK("https://www.nba.com/game/...-vs-...-0021500948/play-by-play?watchFullGame=true", "POR vs WAS - Q1 02:39.00")</f>
        <v>POR vs WAS - Q1 02:39.00</v>
      </c>
      <c r="M1691">
        <v>28</v>
      </c>
      <c r="N1691">
        <v>-207</v>
      </c>
      <c r="O1691">
        <v>188</v>
      </c>
      <c r="P1691">
        <v>-207</v>
      </c>
      <c r="Q1691">
        <v>188</v>
      </c>
      <c r="R1691" t="s">
        <v>0</v>
      </c>
      <c r="S1691" t="s">
        <v>0</v>
      </c>
      <c r="T1691" t="s">
        <v>0</v>
      </c>
    </row>
    <row r="1692" spans="1:20" x14ac:dyDescent="0.25">
      <c r="A1692">
        <v>21600016</v>
      </c>
      <c r="B1692" t="s">
        <v>10</v>
      </c>
      <c r="C1692" t="s">
        <v>9</v>
      </c>
      <c r="D1692">
        <v>39</v>
      </c>
      <c r="E1692">
        <v>41</v>
      </c>
      <c r="F1692">
        <v>2</v>
      </c>
      <c r="G1692">
        <v>2</v>
      </c>
      <c r="H1692" s="1">
        <v>4.5949074074074078E-3</v>
      </c>
      <c r="I1692">
        <v>2016</v>
      </c>
      <c r="J1692" t="s">
        <v>7</v>
      </c>
      <c r="K1692" s="2" t="str">
        <f>HYPERLINK("https://www.nba.com/stats/events?CFID=&amp;CFPARAMS=&amp;GameEventID=180&amp;GameID=0021600016&amp;Season=2016-17&amp;flag=1&amp;title=Gasol%2024'%203PT%20Jump%20Shot%20(5%20PTS)%20(Leonard%201%20AST)", "Gasol 24' 3PT Jump Shot (5 PTS) (Leonard 1 AST)")</f>
        <v>Gasol 24' 3PT Jump Shot (5 PTS) (Leonard 1 AST)</v>
      </c>
      <c r="L1692" s="2" t="str">
        <f>HYPERLINK("https://www.nba.com/game/...-vs-...-0021600016/play-by-play?watchFullGame=true", "SAS vs SAC - Q2 06:37.00")</f>
        <v>SAS vs SAC - Q2 06:37.00</v>
      </c>
      <c r="M1692">
        <v>24</v>
      </c>
      <c r="N1692">
        <v>238</v>
      </c>
      <c r="O1692">
        <v>18</v>
      </c>
      <c r="P1692">
        <v>238</v>
      </c>
      <c r="Q1692">
        <v>18</v>
      </c>
      <c r="R1692" t="s">
        <v>0</v>
      </c>
      <c r="S1692" t="s">
        <v>0</v>
      </c>
      <c r="T1692" t="s">
        <v>0</v>
      </c>
    </row>
    <row r="1693" spans="1:20" x14ac:dyDescent="0.25">
      <c r="A1693">
        <v>21600054</v>
      </c>
      <c r="B1693" t="s">
        <v>10</v>
      </c>
      <c r="C1693" t="s">
        <v>9</v>
      </c>
      <c r="D1693">
        <v>84</v>
      </c>
      <c r="E1693">
        <v>116</v>
      </c>
      <c r="F1693">
        <v>32</v>
      </c>
      <c r="G1693">
        <v>4</v>
      </c>
      <c r="H1693" s="1">
        <v>4.9652777777777777E-3</v>
      </c>
      <c r="I1693">
        <v>2016</v>
      </c>
      <c r="J1693" t="s">
        <v>12</v>
      </c>
      <c r="K1693" s="2" t="str">
        <f>HYPERLINK("https://www.nba.com/stats/events?CFID=&amp;CFPARAMS=&amp;GameEventID=477&amp;GameID=0021600054&amp;Season=2016-17&amp;flag=1&amp;title=Layman%2025'%203PT%20Jump%20Shot%20(3%20PTS)%20(Leonard%201%20AST)", "Layman 25' 3PT Jump Shot (3 PTS) (Leonard 1 AST)")</f>
        <v>Layman 25' 3PT Jump Shot (3 PTS) (Leonard 1 AST)</v>
      </c>
      <c r="L1693" s="2" t="str">
        <f>HYPERLINK("https://www.nba.com/game/...-vs-...-0021600054/play-by-play?watchFullGame=true", "POR vs GSW - Q4 07:09.00")</f>
        <v>POR vs GSW - Q4 07:09.00</v>
      </c>
      <c r="M1693">
        <v>25</v>
      </c>
      <c r="N1693">
        <v>146</v>
      </c>
      <c r="O1693">
        <v>205</v>
      </c>
      <c r="P1693">
        <v>146</v>
      </c>
      <c r="Q1693">
        <v>205</v>
      </c>
      <c r="R1693" t="s">
        <v>0</v>
      </c>
      <c r="S1693" t="s">
        <v>0</v>
      </c>
      <c r="T1693" t="s">
        <v>0</v>
      </c>
    </row>
    <row r="1694" spans="1:20" x14ac:dyDescent="0.25">
      <c r="A1694">
        <v>21600088</v>
      </c>
      <c r="B1694" t="s">
        <v>4</v>
      </c>
      <c r="C1694" t="s">
        <v>9</v>
      </c>
      <c r="D1694">
        <v>43</v>
      </c>
      <c r="E1694">
        <v>45</v>
      </c>
      <c r="F1694">
        <v>2</v>
      </c>
      <c r="G1694">
        <v>2</v>
      </c>
      <c r="H1694" s="1">
        <v>8.1018518518518516E-4</v>
      </c>
      <c r="I1694">
        <v>2016</v>
      </c>
      <c r="J1694" t="s">
        <v>12</v>
      </c>
      <c r="K1694" s="2" t="str">
        <f>HYPERLINK("https://www.nba.com/stats/events?CFID=&amp;CFPARAMS=&amp;GameEventID=270&amp;GameID=0021600088&amp;Season=2016-17&amp;flag=1&amp;title=Aminu%2011'%20Jump%20Shot%20(7%20PTS)%20(Leonard%201%20AST)", "Aminu 11' Jump Shot (7 PTS) (Leonard 1 AST)")</f>
        <v>Aminu 11' Jump Shot (7 PTS) (Leonard 1 AST)</v>
      </c>
      <c r="L1694" s="2" t="str">
        <f>HYPERLINK("https://www.nba.com/game/...-vs-...-0021600088/play-by-play?watchFullGame=true", "POR vs MEM - Q2 01:10.00")</f>
        <v>POR vs MEM - Q2 01:10.00</v>
      </c>
      <c r="M1694">
        <v>11</v>
      </c>
      <c r="N1694">
        <v>69</v>
      </c>
      <c r="O1694">
        <v>82</v>
      </c>
      <c r="P1694">
        <v>69</v>
      </c>
      <c r="Q1694">
        <v>82</v>
      </c>
      <c r="R1694" t="s">
        <v>0</v>
      </c>
      <c r="S1694" t="s">
        <v>0</v>
      </c>
      <c r="T1694" t="s">
        <v>0</v>
      </c>
    </row>
    <row r="1695" spans="1:20" x14ac:dyDescent="0.25">
      <c r="A1695">
        <v>21600213</v>
      </c>
      <c r="B1695" t="s">
        <v>10</v>
      </c>
      <c r="C1695" t="s">
        <v>9</v>
      </c>
      <c r="D1695">
        <v>57</v>
      </c>
      <c r="E1695">
        <v>55</v>
      </c>
      <c r="F1695">
        <v>2</v>
      </c>
      <c r="G1695">
        <v>2</v>
      </c>
      <c r="H1695" s="1">
        <v>1.25E-3</v>
      </c>
      <c r="I1695">
        <v>2016</v>
      </c>
      <c r="J1695" t="s">
        <v>7</v>
      </c>
      <c r="K1695" s="2" t="str">
        <f>HYPERLINK("https://www.nba.com/stats/events?CFID=&amp;CFPARAMS=&amp;GameEventID=218&amp;GameID=0021600213&amp;Season=2016-17&amp;flag=1&amp;title=Green%2026'%203PT%20Jump%20Shot%20(7%20PTS)%20(Leonard%201%20AST)", "Green 26' 3PT Jump Shot (7 PTS) (Leonard 1 AST)")</f>
        <v>Green 26' 3PT Jump Shot (7 PTS) (Leonard 1 AST)</v>
      </c>
      <c r="L1695" s="2" t="str">
        <f>HYPERLINK("https://www.nba.com/game/...-vs-...-0021600213/play-by-play?watchFullGame=true", "SAS vs CHA - Q2 01:48.00")</f>
        <v>SAS vs CHA - Q2 01:48.00</v>
      </c>
      <c r="M1695">
        <v>26</v>
      </c>
      <c r="N1695">
        <v>-142</v>
      </c>
      <c r="O1695">
        <v>218</v>
      </c>
      <c r="P1695">
        <v>-142</v>
      </c>
      <c r="Q1695">
        <v>218</v>
      </c>
      <c r="R1695" t="s">
        <v>0</v>
      </c>
      <c r="S1695" t="s">
        <v>0</v>
      </c>
      <c r="T1695" t="s">
        <v>0</v>
      </c>
    </row>
    <row r="1696" spans="1:20" x14ac:dyDescent="0.25">
      <c r="A1696">
        <v>21600458</v>
      </c>
      <c r="B1696" t="s">
        <v>10</v>
      </c>
      <c r="C1696" t="s">
        <v>9</v>
      </c>
      <c r="D1696">
        <v>45</v>
      </c>
      <c r="E1696">
        <v>35</v>
      </c>
      <c r="F1696">
        <v>10</v>
      </c>
      <c r="G1696">
        <v>2</v>
      </c>
      <c r="H1696" s="1">
        <v>4.7569444444444447E-3</v>
      </c>
      <c r="I1696">
        <v>2016</v>
      </c>
      <c r="J1696" t="s">
        <v>7</v>
      </c>
      <c r="K1696" s="2" t="str">
        <f>HYPERLINK("https://www.nba.com/stats/events?CFID=&amp;CFPARAMS=&amp;GameEventID=163&amp;GameID=0021600458&amp;Season=2016-17&amp;flag=1&amp;title=Simmons%2024'%203PT%20Jump%20Shot%20(3%20PTS)%20(Leonard%204%20AST)", "Simmons 24' 3PT Jump Shot (3 PTS) (Leonard 4 AST)")</f>
        <v>Simmons 24' 3PT Jump Shot (3 PTS) (Leonard 4 AST)</v>
      </c>
      <c r="L1696" s="2" t="str">
        <f>HYPERLINK("https://www.nba.com/game/...-vs-...-0021600458/play-by-play?watchFullGame=true", "SAS vs CHI - Q2 06:51.00")</f>
        <v>SAS vs CHI - Q2 06:51.00</v>
      </c>
      <c r="M1696">
        <v>24</v>
      </c>
      <c r="N1696">
        <v>-163</v>
      </c>
      <c r="O1696">
        <v>178</v>
      </c>
      <c r="P1696">
        <v>-163</v>
      </c>
      <c r="Q1696">
        <v>178</v>
      </c>
      <c r="R1696" t="s">
        <v>0</v>
      </c>
      <c r="S1696" t="s">
        <v>0</v>
      </c>
      <c r="T1696" t="s">
        <v>0</v>
      </c>
    </row>
    <row r="1697" spans="1:20" x14ac:dyDescent="0.25">
      <c r="A1697">
        <v>21500244</v>
      </c>
      <c r="B1697" t="s">
        <v>4</v>
      </c>
      <c r="C1697" t="s">
        <v>31</v>
      </c>
      <c r="D1697">
        <v>93</v>
      </c>
      <c r="E1697">
        <v>80</v>
      </c>
      <c r="F1697">
        <v>13</v>
      </c>
      <c r="G1697">
        <v>4</v>
      </c>
      <c r="H1697" s="1">
        <v>6.0185185185185185E-3</v>
      </c>
      <c r="I1697">
        <v>2015</v>
      </c>
      <c r="J1697" t="s">
        <v>12</v>
      </c>
      <c r="K1697" s="2" t="str">
        <f>HYPERLINK("https://www.nba.com/stats/events?CFID=&amp;CFPARAMS=&amp;GameEventID=414&amp;GameID=0021500244&amp;Season=2015-16&amp;flag=1&amp;title=Crabbe%201'%20Driving%20Reverse%20Layup%20(9%20PTS)%20(Leonard%202%20AST)", "Crabbe 1' Driving Reverse Layup (9 PTS) (Leonard 2 AST)")</f>
        <v>Crabbe 1' Driving Reverse Layup (9 PTS) (Leonard 2 AST)</v>
      </c>
      <c r="L1697" s="2" t="str">
        <f>HYPERLINK("https://www.nba.com/game/...-vs-...-0021500244/play-by-play?watchFullGame=true", "POR vs LAL - Q4 08:40.00")</f>
        <v>POR vs LAL - Q4 08:40.00</v>
      </c>
      <c r="M1697">
        <v>1</v>
      </c>
      <c r="N1697">
        <v>9</v>
      </c>
      <c r="O1697">
        <v>7</v>
      </c>
      <c r="P1697">
        <v>9</v>
      </c>
      <c r="Q1697">
        <v>7</v>
      </c>
      <c r="R1697" t="s">
        <v>0</v>
      </c>
      <c r="S1697" t="s">
        <v>0</v>
      </c>
      <c r="T1697" t="s">
        <v>0</v>
      </c>
    </row>
    <row r="1698" spans="1:20" x14ac:dyDescent="0.25">
      <c r="A1698">
        <v>21500280</v>
      </c>
      <c r="B1698" t="s">
        <v>4</v>
      </c>
      <c r="C1698" t="s">
        <v>44</v>
      </c>
      <c r="D1698">
        <v>10</v>
      </c>
      <c r="E1698">
        <v>13</v>
      </c>
      <c r="F1698">
        <v>3</v>
      </c>
      <c r="G1698">
        <v>1</v>
      </c>
      <c r="H1698" s="1">
        <v>3.7384259259259259E-3</v>
      </c>
      <c r="I1698">
        <v>2015</v>
      </c>
      <c r="J1698" t="s">
        <v>7</v>
      </c>
      <c r="K1698" s="2" t="str">
        <f>HYPERLINK("https://www.nba.com/stats/events?CFID=&amp;CFPARAMS=&amp;GameEventID=57&amp;GameID=0021500280&amp;Season=2015-16&amp;flag=1&amp;title=Duncan%201'%20Alley%20Oop%20Layup%20(4%20PTS)%20(Leonard%201%20AST)", "Duncan 1' Alley Oop Layup (4 PTS) (Leonard 1 AST)")</f>
        <v>Duncan 1' Alley Oop Layup (4 PTS) (Leonard 1 AST)</v>
      </c>
      <c r="L1698" s="2" t="str">
        <f>HYPERLINK("https://www.nba.com/game/...-vs-...-0021500280/play-by-play?watchFullGame=true", "SAS vs MEM - Q1 05:23.00")</f>
        <v>SAS vs MEM - Q1 05:23.00</v>
      </c>
      <c r="M1698">
        <v>1</v>
      </c>
      <c r="N1698">
        <v>-7</v>
      </c>
      <c r="O1698">
        <v>2</v>
      </c>
      <c r="P1698">
        <v>-7</v>
      </c>
      <c r="Q1698">
        <v>2</v>
      </c>
      <c r="R1698" t="s">
        <v>0</v>
      </c>
      <c r="S1698" t="s">
        <v>0</v>
      </c>
      <c r="T1698" t="s">
        <v>0</v>
      </c>
    </row>
    <row r="1699" spans="1:20" x14ac:dyDescent="0.25">
      <c r="A1699">
        <v>21500280</v>
      </c>
      <c r="B1699" t="s">
        <v>4</v>
      </c>
      <c r="C1699" t="s">
        <v>36</v>
      </c>
      <c r="D1699">
        <v>43</v>
      </c>
      <c r="E1699">
        <v>33</v>
      </c>
      <c r="F1699">
        <v>10</v>
      </c>
      <c r="G1699">
        <v>2</v>
      </c>
      <c r="H1699" s="1">
        <v>6.4814814814814813E-4</v>
      </c>
      <c r="I1699">
        <v>2015</v>
      </c>
      <c r="J1699" t="s">
        <v>7</v>
      </c>
      <c r="K1699" s="2" t="str">
        <f>HYPERLINK("https://www.nba.com/stats/events?CFID=&amp;CFPARAMS=&amp;GameEventID=223&amp;GameID=0021500280&amp;Season=2015-16&amp;flag=1&amp;title=Parker%201'%20Running%20Layup%20(14%20PTS)%20(Leonard%203%20AST)", "Parker 1' Running Layup (14 PTS) (Leonard 3 AST)")</f>
        <v>Parker 1' Running Layup (14 PTS) (Leonard 3 AST)</v>
      </c>
      <c r="L1699" s="2" t="str">
        <f>HYPERLINK("https://www.nba.com/game/...-vs-...-0021500280/play-by-play?watchFullGame=true", "SAS vs MEM - Q2 00:56.00")</f>
        <v>SAS vs MEM - Q2 00:56.00</v>
      </c>
      <c r="M1699">
        <v>1</v>
      </c>
      <c r="N1699">
        <v>-14</v>
      </c>
      <c r="O1699">
        <v>-1</v>
      </c>
      <c r="P1699">
        <v>-14</v>
      </c>
      <c r="Q1699">
        <v>-1</v>
      </c>
      <c r="R1699" t="s">
        <v>0</v>
      </c>
      <c r="S1699" t="s">
        <v>0</v>
      </c>
      <c r="T1699" t="s">
        <v>0</v>
      </c>
    </row>
    <row r="1700" spans="1:20" x14ac:dyDescent="0.25">
      <c r="A1700">
        <v>21500343</v>
      </c>
      <c r="B1700" t="s">
        <v>10</v>
      </c>
      <c r="C1700" t="s">
        <v>9</v>
      </c>
      <c r="D1700">
        <v>46</v>
      </c>
      <c r="E1700">
        <v>40</v>
      </c>
      <c r="F1700">
        <v>6</v>
      </c>
      <c r="G1700">
        <v>2</v>
      </c>
      <c r="H1700" s="1">
        <v>5.0115740740740737E-3</v>
      </c>
      <c r="I1700">
        <v>2015</v>
      </c>
      <c r="J1700" t="s">
        <v>12</v>
      </c>
      <c r="K1700" s="2" t="str">
        <f>HYPERLINK("https://www.nba.com/stats/events?CFID=&amp;CFPARAMS=&amp;GameEventID=165&amp;GameID=0021500343&amp;Season=2015-16&amp;flag=1&amp;title=Henderson%2025'%203PT%20Jump%20Shot%20(3%20PTS)%20(Leonard%201%20AST)", "Henderson 25' 3PT Jump Shot (3 PTS) (Leonard 1 AST)")</f>
        <v>Henderson 25' 3PT Jump Shot (3 PTS) (Leonard 1 AST)</v>
      </c>
      <c r="L1700" s="2" t="str">
        <f>HYPERLINK("https://www.nba.com/game/...-vs-...-0021500343/play-by-play?watchFullGame=true", "POR vs PHX - Q2 07:13.00")</f>
        <v>POR vs PHX - Q2 07:13.00</v>
      </c>
      <c r="M1700">
        <v>25</v>
      </c>
      <c r="N1700">
        <v>-120</v>
      </c>
      <c r="O1700">
        <v>218</v>
      </c>
      <c r="P1700">
        <v>-120</v>
      </c>
      <c r="Q1700">
        <v>218</v>
      </c>
      <c r="R1700" t="s">
        <v>0</v>
      </c>
      <c r="S1700" t="s">
        <v>0</v>
      </c>
      <c r="T1700" t="s">
        <v>0</v>
      </c>
    </row>
    <row r="1701" spans="1:20" x14ac:dyDescent="0.25">
      <c r="A1701">
        <v>21500379</v>
      </c>
      <c r="B1701" t="s">
        <v>4</v>
      </c>
      <c r="C1701" t="s">
        <v>9</v>
      </c>
      <c r="D1701">
        <v>9</v>
      </c>
      <c r="E1701">
        <v>6</v>
      </c>
      <c r="F1701">
        <v>3</v>
      </c>
      <c r="G1701">
        <v>1</v>
      </c>
      <c r="H1701" s="1">
        <v>6.1921296296296299E-3</v>
      </c>
      <c r="I1701">
        <v>2015</v>
      </c>
      <c r="J1701" t="s">
        <v>7</v>
      </c>
      <c r="K1701" s="2" t="str">
        <f>HYPERLINK("https://www.nba.com/stats/events?CFID=&amp;CFPARAMS=&amp;GameEventID=23&amp;GameID=0021500379&amp;Season=2015-16&amp;flag=1&amp;title=Parker%2018'%20Jump%20Shot%20(2%20PTS)%20(Leonard%201%20AST)", "Parker 18' Jump Shot (2 PTS) (Leonard 1 AST)")</f>
        <v>Parker 18' Jump Shot (2 PTS) (Leonard 1 AST)</v>
      </c>
      <c r="L1701" s="2" t="str">
        <f>HYPERLINK("https://www.nba.com/game/...-vs-...-0021500379/play-by-play?watchFullGame=true", "SAS vs WAS - Q1 08:55.00")</f>
        <v>SAS vs WAS - Q1 08:55.00</v>
      </c>
      <c r="M1701">
        <v>18</v>
      </c>
      <c r="N1701">
        <v>-166</v>
      </c>
      <c r="O1701">
        <v>57</v>
      </c>
      <c r="P1701">
        <v>-166</v>
      </c>
      <c r="Q1701">
        <v>57</v>
      </c>
      <c r="R1701" t="s">
        <v>0</v>
      </c>
      <c r="S1701" t="s">
        <v>0</v>
      </c>
      <c r="T1701" t="s">
        <v>0</v>
      </c>
    </row>
    <row r="1702" spans="1:20" x14ac:dyDescent="0.25">
      <c r="A1702">
        <v>21500416</v>
      </c>
      <c r="B1702" t="s">
        <v>4</v>
      </c>
      <c r="C1702" t="s">
        <v>24</v>
      </c>
      <c r="D1702">
        <v>6</v>
      </c>
      <c r="E1702">
        <v>4</v>
      </c>
      <c r="F1702">
        <v>2</v>
      </c>
      <c r="G1702">
        <v>1</v>
      </c>
      <c r="H1702" s="1">
        <v>6.0416666666666665E-3</v>
      </c>
      <c r="I1702">
        <v>2015</v>
      </c>
      <c r="J1702" t="s">
        <v>7</v>
      </c>
      <c r="K1702" s="2" t="str">
        <f>HYPERLINK("https://www.nba.com/stats/events?CFID=&amp;CFPARAMS=&amp;GameEventID=28&amp;GameID=0021500416&amp;Season=2015-16&amp;flag=1&amp;title=Duncan%202'%20Cutting%20Finger%20Roll%20Layup%20Shot%20(2%20PTS)%20(Leonard%201%20AST)", "Duncan 2' Cutting Finger Roll Layup Shot (2 PTS) (Leonard 1 AST)")</f>
        <v>Duncan 2' Cutting Finger Roll Layup Shot (2 PTS) (Leonard 1 AST)</v>
      </c>
      <c r="L1702" s="2" t="str">
        <f>HYPERLINK("https://www.nba.com/game/...-vs-...-0021500416/play-by-play?watchFullGame=true", "SAS vs IND - Q1 08:42.00")</f>
        <v>SAS vs IND - Q1 08:42.00</v>
      </c>
      <c r="M1702">
        <v>2</v>
      </c>
      <c r="N1702">
        <v>-4</v>
      </c>
      <c r="O1702">
        <v>21</v>
      </c>
      <c r="P1702">
        <v>-4</v>
      </c>
      <c r="Q1702">
        <v>21</v>
      </c>
      <c r="R1702" t="s">
        <v>0</v>
      </c>
      <c r="S1702" t="s">
        <v>0</v>
      </c>
      <c r="T1702" t="s">
        <v>0</v>
      </c>
    </row>
    <row r="1703" spans="1:20" x14ac:dyDescent="0.25">
      <c r="A1703">
        <v>21500431</v>
      </c>
      <c r="B1703" t="s">
        <v>10</v>
      </c>
      <c r="C1703" t="s">
        <v>9</v>
      </c>
      <c r="D1703">
        <v>9</v>
      </c>
      <c r="E1703">
        <v>4</v>
      </c>
      <c r="F1703">
        <v>5</v>
      </c>
      <c r="G1703">
        <v>1</v>
      </c>
      <c r="H1703" s="1">
        <v>5.6249999999999998E-3</v>
      </c>
      <c r="I1703">
        <v>2015</v>
      </c>
      <c r="J1703" t="s">
        <v>7</v>
      </c>
      <c r="K1703" s="2" t="str">
        <f>HYPERLINK("https://www.nba.com/stats/events?CFID=&amp;CFPARAMS=&amp;GameEventID=26&amp;GameID=0021500431&amp;Season=2015-16&amp;flag=1&amp;title=Green%2025'%203PT%20Jump%20Shot%20(3%20PTS)%20(Leonard%201%20AST)", "Green 25' 3PT Jump Shot (3 PTS) (Leonard 1 AST)")</f>
        <v>Green 25' 3PT Jump Shot (3 PTS) (Leonard 1 AST)</v>
      </c>
      <c r="L1703" s="2" t="str">
        <f>HYPERLINK("https://www.nba.com/game/...-vs-...-0021500431/play-by-play?watchFullGame=true", "SAS vs MIN - Q1 08:06.00")</f>
        <v>SAS vs MIN - Q1 08:06.00</v>
      </c>
      <c r="M1703">
        <v>25</v>
      </c>
      <c r="N1703">
        <v>60</v>
      </c>
      <c r="O1703">
        <v>247</v>
      </c>
      <c r="P1703">
        <v>60</v>
      </c>
      <c r="Q1703">
        <v>247</v>
      </c>
      <c r="R1703" t="s">
        <v>0</v>
      </c>
      <c r="S1703" t="s">
        <v>0</v>
      </c>
      <c r="T1703" t="s">
        <v>0</v>
      </c>
    </row>
    <row r="1704" spans="1:20" x14ac:dyDescent="0.25">
      <c r="A1704">
        <v>21500450</v>
      </c>
      <c r="B1704" t="s">
        <v>10</v>
      </c>
      <c r="C1704" t="s">
        <v>9</v>
      </c>
      <c r="D1704">
        <v>87</v>
      </c>
      <c r="E1704">
        <v>69</v>
      </c>
      <c r="F1704">
        <v>18</v>
      </c>
      <c r="G1704">
        <v>4</v>
      </c>
      <c r="H1704" s="1">
        <v>6.3310185185185188E-3</v>
      </c>
      <c r="I1704">
        <v>2015</v>
      </c>
      <c r="J1704" t="s">
        <v>7</v>
      </c>
      <c r="K1704" s="2" t="str">
        <f>HYPERLINK("https://www.nba.com/stats/events?CFID=&amp;CFPARAMS=&amp;GameEventID=365&amp;GameID=0021500450&amp;Season=2015-16&amp;flag=1&amp;title=Diaw%2025'%203PT%20Jump%20Shot%20(12%20PTS)%20(Leonard%204%20AST)", "Diaw 25' 3PT Jump Shot (12 PTS) (Leonard 4 AST)")</f>
        <v>Diaw 25' 3PT Jump Shot (12 PTS) (Leonard 4 AST)</v>
      </c>
      <c r="L1704" s="2" t="str">
        <f>HYPERLINK("https://www.nba.com/game/...-vs-...-0021500450/play-by-play?watchFullGame=true", "SAS vs DEN - Q4 09:07.00")</f>
        <v>SAS vs DEN - Q4 09:07.00</v>
      </c>
      <c r="M1704">
        <v>25</v>
      </c>
      <c r="N1704">
        <v>151</v>
      </c>
      <c r="O1704">
        <v>198</v>
      </c>
      <c r="P1704">
        <v>151</v>
      </c>
      <c r="Q1704">
        <v>198</v>
      </c>
      <c r="R1704" t="s">
        <v>0</v>
      </c>
      <c r="S1704" t="s">
        <v>0</v>
      </c>
      <c r="T1704" t="s">
        <v>0</v>
      </c>
    </row>
    <row r="1705" spans="1:20" x14ac:dyDescent="0.25">
      <c r="A1705">
        <v>21500123</v>
      </c>
      <c r="B1705" t="s">
        <v>10</v>
      </c>
      <c r="C1705" t="s">
        <v>9</v>
      </c>
      <c r="D1705">
        <v>46</v>
      </c>
      <c r="E1705">
        <v>55</v>
      </c>
      <c r="F1705">
        <v>9</v>
      </c>
      <c r="G1705">
        <v>2</v>
      </c>
      <c r="H1705" s="1">
        <v>5.8912037037037038E-4</v>
      </c>
      <c r="I1705">
        <v>2015</v>
      </c>
      <c r="J1705" t="s">
        <v>12</v>
      </c>
      <c r="K1705" s="2" t="str">
        <f>HYPERLINK("https://www.nba.com/stats/events?CFID=&amp;CFPARAMS=&amp;GameEventID=205&amp;GameID=0021500123&amp;Season=2015-16&amp;flag=1&amp;title=Lillard%2025'%203PT%20Jump%20Shot%20(11%20PTS)%20(Leonard%202%20AST)", "Lillard 25' 3PT Jump Shot (11 PTS) (Leonard 2 AST)")</f>
        <v>Lillard 25' 3PT Jump Shot (11 PTS) (Leonard 2 AST)</v>
      </c>
      <c r="L1705" s="2" t="str">
        <f>HYPERLINK("https://www.nba.com/game/...-vs-...-0021500123/play-by-play?watchFullGame=true", "POR vs SAS - Q2 00:50.90")</f>
        <v>POR vs SAS - Q2 00:50.90</v>
      </c>
      <c r="M1705">
        <v>25</v>
      </c>
      <c r="N1705">
        <v>-92</v>
      </c>
      <c r="O1705">
        <v>237</v>
      </c>
      <c r="P1705">
        <v>-92</v>
      </c>
      <c r="Q1705">
        <v>237</v>
      </c>
      <c r="R1705" t="s">
        <v>0</v>
      </c>
      <c r="S1705" t="s">
        <v>0</v>
      </c>
      <c r="T1705" t="s">
        <v>0</v>
      </c>
    </row>
    <row r="1706" spans="1:20" x14ac:dyDescent="0.25">
      <c r="A1706">
        <v>21500235</v>
      </c>
      <c r="B1706" t="s">
        <v>4</v>
      </c>
      <c r="C1706" t="s">
        <v>36</v>
      </c>
      <c r="D1706">
        <v>67</v>
      </c>
      <c r="E1706">
        <v>58</v>
      </c>
      <c r="F1706">
        <v>9</v>
      </c>
      <c r="G1706">
        <v>3</v>
      </c>
      <c r="H1706" s="1">
        <v>1.0879629629629629E-3</v>
      </c>
      <c r="I1706">
        <v>2015</v>
      </c>
      <c r="J1706" t="s">
        <v>7</v>
      </c>
      <c r="K1706" s="2" t="str">
        <f>HYPERLINK("https://www.nba.com/stats/events?CFID=&amp;CFPARAMS=&amp;GameEventID=348&amp;GameID=0021500235&amp;Season=2015-16&amp;flag=1&amp;title=Simmons%202'%20Running%20Layup%20(6%20PTS)%20(Leonard%205%20AST)", "Simmons 2' Running Layup (6 PTS) (Leonard 5 AST)")</f>
        <v>Simmons 2' Running Layup (6 PTS) (Leonard 5 AST)</v>
      </c>
      <c r="L1706" s="2" t="str">
        <f>HYPERLINK("https://www.nba.com/game/...-vs-...-0021500235/play-by-play?watchFullGame=true", "SAS vs DEN - Q3 01:34.00")</f>
        <v>SAS vs DEN - Q3 01:34.00</v>
      </c>
      <c r="M1706">
        <v>2</v>
      </c>
      <c r="N1706">
        <v>17</v>
      </c>
      <c r="O1706">
        <v>11</v>
      </c>
      <c r="P1706">
        <v>17</v>
      </c>
      <c r="Q1706">
        <v>11</v>
      </c>
      <c r="R1706" t="s">
        <v>0</v>
      </c>
      <c r="S1706" t="s">
        <v>0</v>
      </c>
      <c r="T1706" t="s">
        <v>0</v>
      </c>
    </row>
    <row r="1707" spans="1:20" x14ac:dyDescent="0.25">
      <c r="A1707">
        <v>21500294</v>
      </c>
      <c r="B1707" t="s">
        <v>4</v>
      </c>
      <c r="C1707" t="s">
        <v>20</v>
      </c>
      <c r="D1707">
        <v>88</v>
      </c>
      <c r="E1707">
        <v>84</v>
      </c>
      <c r="F1707">
        <v>4</v>
      </c>
      <c r="G1707">
        <v>4</v>
      </c>
      <c r="H1707" s="1">
        <v>6.2037037037037035E-3</v>
      </c>
      <c r="I1707">
        <v>2015</v>
      </c>
      <c r="J1707" t="s">
        <v>12</v>
      </c>
      <c r="K1707" s="2" t="str">
        <f>HYPERLINK("https://www.nba.com/stats/events?CFID=&amp;CFPARAMS=&amp;GameEventID=423&amp;GameID=0021500294&amp;Season=2015-16&amp;flag=1&amp;title=Crabbe%20%20Cutting%20Layup%20Shot%20(9%20PTS)%20(Leonard%201%20AST)", "Crabbe  Cutting Layup Shot (9 PTS) (Leonard 1 AST)")</f>
        <v>Crabbe  Cutting Layup Shot (9 PTS) (Leonard 1 AST)</v>
      </c>
      <c r="L1707" s="2" t="str">
        <f>HYPERLINK("https://www.nba.com/game/...-vs-...-0021500294/play-by-play?watchFullGame=true", "POR vs MIN - Q4 08:56.00")</f>
        <v>POR vs MIN - Q4 08:56.00</v>
      </c>
      <c r="M1707">
        <v>0</v>
      </c>
      <c r="N1707">
        <v>-4</v>
      </c>
      <c r="O1707">
        <v>2</v>
      </c>
      <c r="P1707">
        <v>-4</v>
      </c>
      <c r="Q1707">
        <v>2</v>
      </c>
      <c r="R1707" t="s">
        <v>0</v>
      </c>
      <c r="S1707" t="s">
        <v>0</v>
      </c>
      <c r="T1707" t="s">
        <v>0</v>
      </c>
    </row>
    <row r="1708" spans="1:20" x14ac:dyDescent="0.25">
      <c r="A1708">
        <v>21500366</v>
      </c>
      <c r="B1708" t="s">
        <v>10</v>
      </c>
      <c r="C1708" t="s">
        <v>9</v>
      </c>
      <c r="D1708">
        <v>26</v>
      </c>
      <c r="E1708">
        <v>29</v>
      </c>
      <c r="F1708">
        <v>3</v>
      </c>
      <c r="G1708">
        <v>1</v>
      </c>
      <c r="H1708" s="1">
        <v>1.6319444444444445E-3</v>
      </c>
      <c r="I1708">
        <v>2015</v>
      </c>
      <c r="J1708" t="s">
        <v>12</v>
      </c>
      <c r="K1708" s="2" t="str">
        <f>HYPERLINK("https://www.nba.com/stats/events?CFID=&amp;CFPARAMS=&amp;GameEventID=122&amp;GameID=0021500366&amp;Season=2015-16&amp;flag=1&amp;title=Lillard%2026'%203PT%20Jump%20Shot%20(7%20PTS)%20(Leonard%201%20AST)", "Lillard 26' 3PT Jump Shot (7 PTS) (Leonard 1 AST)")</f>
        <v>Lillard 26' 3PT Jump Shot (7 PTS) (Leonard 1 AST)</v>
      </c>
      <c r="L1708" s="2" t="str">
        <f>HYPERLINK("https://www.nba.com/game/...-vs-...-0021500366/play-by-play?watchFullGame=true", "POR vs NOP - Q1 02:21.00")</f>
        <v>POR vs NOP - Q1 02:21.00</v>
      </c>
      <c r="M1708">
        <v>26</v>
      </c>
      <c r="N1708">
        <v>56</v>
      </c>
      <c r="O1708">
        <v>252</v>
      </c>
      <c r="P1708">
        <v>56</v>
      </c>
      <c r="Q1708">
        <v>252</v>
      </c>
      <c r="R1708" t="s">
        <v>0</v>
      </c>
      <c r="S1708" t="s">
        <v>0</v>
      </c>
      <c r="T1708" t="s">
        <v>0</v>
      </c>
    </row>
    <row r="1709" spans="1:20" x14ac:dyDescent="0.25">
      <c r="A1709">
        <v>21500366</v>
      </c>
      <c r="B1709" t="s">
        <v>10</v>
      </c>
      <c r="C1709" t="s">
        <v>9</v>
      </c>
      <c r="D1709">
        <v>34</v>
      </c>
      <c r="E1709">
        <v>35</v>
      </c>
      <c r="F1709">
        <v>1</v>
      </c>
      <c r="G1709">
        <v>2</v>
      </c>
      <c r="H1709" s="1">
        <v>6.2037037037037035E-3</v>
      </c>
      <c r="I1709">
        <v>2015</v>
      </c>
      <c r="J1709" t="s">
        <v>12</v>
      </c>
      <c r="K1709" s="2" t="str">
        <f>HYPERLINK("https://www.nba.com/stats/events?CFID=&amp;CFPARAMS=&amp;GameEventID=182&amp;GameID=0021500366&amp;Season=2015-16&amp;flag=1&amp;title=Henderson%2027'%203PT%20Jump%20Shot%20(9%20PTS)%20(Leonard%202%20AST)", "Henderson 27' 3PT Jump Shot (9 PTS) (Leonard 2 AST)")</f>
        <v>Henderson 27' 3PT Jump Shot (9 PTS) (Leonard 2 AST)</v>
      </c>
      <c r="L1709" s="2" t="str">
        <f>HYPERLINK("https://www.nba.com/game/...-vs-...-0021500366/play-by-play?watchFullGame=true", "POR vs NOP - Q2 08:56.00")</f>
        <v>POR vs NOP - Q2 08:56.00</v>
      </c>
      <c r="M1709">
        <v>27</v>
      </c>
      <c r="N1709">
        <v>-191</v>
      </c>
      <c r="O1709">
        <v>188</v>
      </c>
      <c r="P1709">
        <v>-191</v>
      </c>
      <c r="Q1709">
        <v>188</v>
      </c>
      <c r="R1709" t="s">
        <v>0</v>
      </c>
      <c r="S1709" t="s">
        <v>0</v>
      </c>
      <c r="T1709" t="s">
        <v>0</v>
      </c>
    </row>
    <row r="1710" spans="1:20" x14ac:dyDescent="0.25">
      <c r="A1710">
        <v>21500413</v>
      </c>
      <c r="B1710" t="s">
        <v>10</v>
      </c>
      <c r="C1710" t="s">
        <v>9</v>
      </c>
      <c r="D1710">
        <v>67</v>
      </c>
      <c r="E1710">
        <v>85</v>
      </c>
      <c r="F1710">
        <v>18</v>
      </c>
      <c r="G1710">
        <v>4</v>
      </c>
      <c r="H1710" s="1">
        <v>6.4351851851851853E-3</v>
      </c>
      <c r="I1710">
        <v>2015</v>
      </c>
      <c r="J1710" t="s">
        <v>12</v>
      </c>
      <c r="K1710" s="2" t="str">
        <f>HYPERLINK("https://www.nba.com/stats/events?CFID=&amp;CFPARAMS=&amp;GameEventID=431&amp;GameID=0021500413&amp;Season=2015-16&amp;flag=1&amp;title=Henderson%20%203PT%20Jump%20Shot%20(8%20PTS)%20(Leonard%201%20AST)", "Henderson  3PT Jump Shot (8 PTS) (Leonard 1 AST)")</f>
        <v>Henderson  3PT Jump Shot (8 PTS) (Leonard 1 AST)</v>
      </c>
      <c r="L1710" s="2" t="str">
        <f>HYPERLINK("https://www.nba.com/game/...-vs-...-0021500413/play-by-play?watchFullGame=true", "POR vs ATL - Q4 09:16.00")</f>
        <v>POR vs ATL - Q4 09:16.00</v>
      </c>
      <c r="M1710">
        <v>0</v>
      </c>
      <c r="N1710">
        <v>-233</v>
      </c>
      <c r="O1710">
        <v>8</v>
      </c>
      <c r="P1710">
        <v>-233</v>
      </c>
      <c r="Q1710">
        <v>8</v>
      </c>
      <c r="R1710" t="s">
        <v>0</v>
      </c>
      <c r="S1710" t="s">
        <v>0</v>
      </c>
      <c r="T1710" t="s">
        <v>0</v>
      </c>
    </row>
    <row r="1711" spans="1:20" x14ac:dyDescent="0.25">
      <c r="A1711">
        <v>21500439</v>
      </c>
      <c r="B1711" t="s">
        <v>4</v>
      </c>
      <c r="C1711" t="s">
        <v>9</v>
      </c>
      <c r="D1711">
        <v>16</v>
      </c>
      <c r="E1711">
        <v>16</v>
      </c>
      <c r="F1711">
        <v>0</v>
      </c>
      <c r="G1711">
        <v>1</v>
      </c>
      <c r="H1711" s="1">
        <v>2.0138888888888888E-3</v>
      </c>
      <c r="I1711">
        <v>2015</v>
      </c>
      <c r="J1711" t="s">
        <v>7</v>
      </c>
      <c r="K1711" s="2" t="str">
        <f>HYPERLINK("https://www.nba.com/stats/events?CFID=&amp;CFPARAMS=&amp;GameEventID=78&amp;GameID=0021500439&amp;Season=2015-16&amp;flag=1&amp;title=Diaw%2020'%20Jump%20Shot%20(4%20PTS)%20(Leonard%201%20AST)", "Diaw 20' Jump Shot (4 PTS) (Leonard 1 AST)")</f>
        <v>Diaw 20' Jump Shot (4 PTS) (Leonard 1 AST)</v>
      </c>
      <c r="L1711" s="2" t="str">
        <f>HYPERLINK("https://www.nba.com/game/...-vs-...-0021500439/play-by-play?watchFullGame=true", "SAS vs HOU - Q1 02:54.00")</f>
        <v>SAS vs HOU - Q1 02:54.00</v>
      </c>
      <c r="M1711">
        <v>20</v>
      </c>
      <c r="N1711">
        <v>-204</v>
      </c>
      <c r="O1711">
        <v>7</v>
      </c>
      <c r="P1711">
        <v>-204</v>
      </c>
      <c r="Q1711">
        <v>7</v>
      </c>
      <c r="R1711" t="s">
        <v>0</v>
      </c>
      <c r="S1711" t="s">
        <v>0</v>
      </c>
      <c r="T1711" t="s">
        <v>0</v>
      </c>
    </row>
    <row r="1712" spans="1:20" x14ac:dyDescent="0.25">
      <c r="A1712">
        <v>21500450</v>
      </c>
      <c r="B1712" t="s">
        <v>4</v>
      </c>
      <c r="C1712" t="s">
        <v>9</v>
      </c>
      <c r="D1712">
        <v>45</v>
      </c>
      <c r="E1712">
        <v>33</v>
      </c>
      <c r="F1712">
        <v>12</v>
      </c>
      <c r="G1712">
        <v>2</v>
      </c>
      <c r="H1712" s="1">
        <v>2.5694444444444445E-3</v>
      </c>
      <c r="I1712">
        <v>2015</v>
      </c>
      <c r="J1712" t="s">
        <v>7</v>
      </c>
      <c r="K1712" s="2" t="str">
        <f>HYPERLINK("https://www.nba.com/stats/events?CFID=&amp;CFPARAMS=&amp;GameEventID=204&amp;GameID=0021500450&amp;Season=2015-16&amp;flag=1&amp;title=West%2015'%20Jump%20Shot%20(8%20PTS)%20(Leonard%202%20AST)", "West 15' Jump Shot (8 PTS) (Leonard 2 AST)")</f>
        <v>West 15' Jump Shot (8 PTS) (Leonard 2 AST)</v>
      </c>
      <c r="L1712" s="2" t="str">
        <f>HYPERLINK("https://www.nba.com/game/...-vs-...-0021500450/play-by-play?watchFullGame=true", "SAS vs DEN - Q2 03:42.00")</f>
        <v>SAS vs DEN - Q2 03:42.00</v>
      </c>
      <c r="M1712">
        <v>15</v>
      </c>
      <c r="N1712">
        <v>-12</v>
      </c>
      <c r="O1712">
        <v>146</v>
      </c>
      <c r="P1712">
        <v>-12</v>
      </c>
      <c r="Q1712">
        <v>146</v>
      </c>
      <c r="R1712" t="s">
        <v>0</v>
      </c>
      <c r="S1712" t="s">
        <v>0</v>
      </c>
      <c r="T1712" t="s">
        <v>0</v>
      </c>
    </row>
    <row r="1713" spans="1:20" x14ac:dyDescent="0.25">
      <c r="A1713">
        <v>21800371</v>
      </c>
      <c r="B1713" t="s">
        <v>4</v>
      </c>
      <c r="C1713" t="s">
        <v>17</v>
      </c>
      <c r="D1713">
        <v>87</v>
      </c>
      <c r="E1713">
        <v>87</v>
      </c>
      <c r="F1713">
        <v>0</v>
      </c>
      <c r="G1713">
        <v>4</v>
      </c>
      <c r="H1713" s="1">
        <v>4.2592592592592595E-3</v>
      </c>
      <c r="I1713">
        <v>2018</v>
      </c>
      <c r="J1713" t="s">
        <v>1</v>
      </c>
      <c r="K1713" s="2" t="str">
        <f>HYPERLINK("https://www.nba.com/stats/events?CFID=&amp;CFPARAMS=&amp;GameEventID=577&amp;GameID=0021800371&amp;Season=2018-19&amp;flag=1&amp;title=Siakam%204'%20Floating%20Jump%20Shot%20(14%20PTS)%20(Leonard%203%20AST)", "Siakam 4' Floating Jump Shot (14 PTS) (Leonard 3 AST)")</f>
        <v>Siakam 4' Floating Jump Shot (14 PTS) (Leonard 3 AST)</v>
      </c>
      <c r="L1713" s="2" t="str">
        <f>HYPERLINK("https://www.nba.com/game/...-vs-...-0021800371/play-by-play?watchFullGame=true", "TOR vs BKN - Q4 06:08.00")</f>
        <v>TOR vs BKN - Q4 06:08.00</v>
      </c>
      <c r="M1713">
        <v>4</v>
      </c>
      <c r="N1713">
        <v>-18</v>
      </c>
      <c r="O1713">
        <v>34</v>
      </c>
      <c r="P1713">
        <v>-18</v>
      </c>
      <c r="Q1713">
        <v>34</v>
      </c>
      <c r="R1713" t="s">
        <v>0</v>
      </c>
      <c r="S1713" t="s">
        <v>0</v>
      </c>
      <c r="T1713" t="s">
        <v>0</v>
      </c>
    </row>
    <row r="1714" spans="1:20" x14ac:dyDescent="0.25">
      <c r="A1714">
        <v>21800388</v>
      </c>
      <c r="B1714" t="s">
        <v>10</v>
      </c>
      <c r="C1714" t="s">
        <v>9</v>
      </c>
      <c r="D1714">
        <v>46</v>
      </c>
      <c r="E1714">
        <v>44</v>
      </c>
      <c r="F1714">
        <v>2</v>
      </c>
      <c r="G1714">
        <v>2</v>
      </c>
      <c r="H1714" s="1">
        <v>1.7939814814814815E-3</v>
      </c>
      <c r="I1714">
        <v>2018</v>
      </c>
      <c r="J1714" t="s">
        <v>1</v>
      </c>
      <c r="K1714" s="2" t="str">
        <f>HYPERLINK("https://www.nba.com/stats/events?CFID=&amp;CFPARAMS=&amp;GameEventID=292&amp;GameID=0021800388&amp;Season=2018-19&amp;flag=1&amp;title=Green%2025'%203PT%20Jump%20Shot%20(5%20PTS)%20(Leonard%202%20AST)", "Green 25' 3PT Jump Shot (5 PTS) (Leonard 2 AST)")</f>
        <v>Green 25' 3PT Jump Shot (5 PTS) (Leonard 2 AST)</v>
      </c>
      <c r="L1714" s="2" t="str">
        <f>HYPERLINK("https://www.nba.com/game/...-vs-...-0021800388/play-by-play?watchFullGame=true", "TOR vs MIL - Q2 02:35.00")</f>
        <v>TOR vs MIL - Q2 02:35.00</v>
      </c>
      <c r="M1714">
        <v>25</v>
      </c>
      <c r="N1714">
        <v>-209</v>
      </c>
      <c r="O1714">
        <v>135</v>
      </c>
      <c r="P1714">
        <v>-209</v>
      </c>
      <c r="Q1714">
        <v>135</v>
      </c>
      <c r="R1714" t="s">
        <v>0</v>
      </c>
      <c r="S1714" t="s">
        <v>0</v>
      </c>
      <c r="T1714" t="s">
        <v>0</v>
      </c>
    </row>
    <row r="1715" spans="1:20" x14ac:dyDescent="0.25">
      <c r="A1715">
        <v>21800427</v>
      </c>
      <c r="B1715" t="s">
        <v>10</v>
      </c>
      <c r="C1715" t="s">
        <v>9</v>
      </c>
      <c r="D1715">
        <v>15</v>
      </c>
      <c r="E1715">
        <v>14</v>
      </c>
      <c r="F1715">
        <v>1</v>
      </c>
      <c r="G1715">
        <v>1</v>
      </c>
      <c r="H1715" s="1">
        <v>3.3449074074074076E-3</v>
      </c>
      <c r="I1715">
        <v>2018</v>
      </c>
      <c r="J1715" t="s">
        <v>1</v>
      </c>
      <c r="K1715" s="2" t="str">
        <f>HYPERLINK("https://www.nba.com/stats/events?CFID=&amp;CFPARAMS=&amp;GameEventID=86&amp;GameID=0021800427&amp;Season=2018-19&amp;flag=1&amp;title=Anunoby%203PT%20Jump%20Shot%20(3%20PTS)%20(Leonard%201%20AST)", "Anunoby 3PT Jump Shot (3 PTS) (Leonard 1 AST)")</f>
        <v>Anunoby 3PT Jump Shot (3 PTS) (Leonard 1 AST)</v>
      </c>
      <c r="L1715" s="2" t="str">
        <f>HYPERLINK("https://www.nba.com/game/...-vs-...-0021800427/play-by-play?watchFullGame=true", "TOR vs POR - Q1 04:49.00")</f>
        <v>TOR vs POR - Q1 04:49.00</v>
      </c>
      <c r="M1715">
        <v>0</v>
      </c>
      <c r="N1715">
        <v>-223</v>
      </c>
      <c r="O1715">
        <v>17</v>
      </c>
      <c r="P1715">
        <v>-223</v>
      </c>
      <c r="Q1715">
        <v>17</v>
      </c>
      <c r="R1715" t="s">
        <v>0</v>
      </c>
      <c r="S1715" t="s">
        <v>0</v>
      </c>
      <c r="T1715" t="s">
        <v>0</v>
      </c>
    </row>
    <row r="1716" spans="1:20" x14ac:dyDescent="0.25">
      <c r="A1716">
        <v>21800506</v>
      </c>
      <c r="B1716" t="s">
        <v>4</v>
      </c>
      <c r="C1716" t="s">
        <v>28</v>
      </c>
      <c r="D1716">
        <v>8</v>
      </c>
      <c r="E1716">
        <v>11</v>
      </c>
      <c r="F1716">
        <v>3</v>
      </c>
      <c r="G1716">
        <v>1</v>
      </c>
      <c r="H1716" s="1">
        <v>5.4050925925925924E-3</v>
      </c>
      <c r="I1716">
        <v>2018</v>
      </c>
      <c r="J1716" t="s">
        <v>1</v>
      </c>
      <c r="K1716" s="2" t="str">
        <f>HYPERLINK("https://www.nba.com/stats/events?CFID=&amp;CFPARAMS=&amp;GameEventID=39&amp;GameID=0021800506&amp;Season=2018-19&amp;flag=1&amp;title=Green%204'%20Driving%20Finger%20Roll%20Layup%20(2%20PTS)%20(Leonard%201%20AST)", "Green 4' Driving Finger Roll Layup (2 PTS) (Leonard 1 AST)")</f>
        <v>Green 4' Driving Finger Roll Layup (2 PTS) (Leonard 1 AST)</v>
      </c>
      <c r="L1716" s="2" t="str">
        <f>HYPERLINK("https://www.nba.com/game/...-vs-...-0021800506/play-by-play?watchFullGame=true", "TOR vs MIA - Q1 07:47.00")</f>
        <v>TOR vs MIA - Q1 07:47.00</v>
      </c>
      <c r="M1716">
        <v>4</v>
      </c>
      <c r="N1716">
        <v>-32</v>
      </c>
      <c r="O1716">
        <v>28</v>
      </c>
      <c r="P1716">
        <v>-32</v>
      </c>
      <c r="Q1716">
        <v>28</v>
      </c>
      <c r="R1716" t="s">
        <v>0</v>
      </c>
      <c r="S1716" t="s">
        <v>0</v>
      </c>
      <c r="T1716" t="s">
        <v>0</v>
      </c>
    </row>
    <row r="1717" spans="1:20" x14ac:dyDescent="0.25">
      <c r="A1717">
        <v>21800700</v>
      </c>
      <c r="B1717" t="s">
        <v>10</v>
      </c>
      <c r="C1717" t="s">
        <v>9</v>
      </c>
      <c r="D1717">
        <v>34</v>
      </c>
      <c r="E1717">
        <v>36</v>
      </c>
      <c r="F1717">
        <v>2</v>
      </c>
      <c r="G1717">
        <v>2</v>
      </c>
      <c r="H1717" s="1">
        <v>5.7754629629629631E-3</v>
      </c>
      <c r="I1717">
        <v>2018</v>
      </c>
      <c r="J1717" t="s">
        <v>12</v>
      </c>
      <c r="K1717" s="2" t="str">
        <f>HYPERLINK("https://www.nba.com/stats/events?CFID=&amp;CFPARAMS=&amp;GameEventID=196&amp;GameID=0021800700&amp;Season=2018-19&amp;flag=1&amp;title=Curry%2028'%203PT%20Jump%20Shot%20(3%20PTS)%20(Leonard%201%20AST)", "Curry 28' 3PT Jump Shot (3 PTS) (Leonard 1 AST)")</f>
        <v>Curry 28' 3PT Jump Shot (3 PTS) (Leonard 1 AST)</v>
      </c>
      <c r="L1717" s="2" t="str">
        <f>HYPERLINK("https://www.nba.com/game/...-vs-...-0021800700/play-by-play?watchFullGame=true", "POR vs UTA - Q2 08:19.00")</f>
        <v>POR vs UTA - Q2 08:19.00</v>
      </c>
      <c r="M1717">
        <v>28</v>
      </c>
      <c r="N1717">
        <v>-32</v>
      </c>
      <c r="O1717">
        <v>274</v>
      </c>
      <c r="P1717">
        <v>-32</v>
      </c>
      <c r="Q1717">
        <v>274</v>
      </c>
      <c r="R1717" t="s">
        <v>0</v>
      </c>
      <c r="S1717" t="s">
        <v>0</v>
      </c>
      <c r="T1717" t="s">
        <v>0</v>
      </c>
    </row>
    <row r="1718" spans="1:20" x14ac:dyDescent="0.25">
      <c r="A1718">
        <v>21800763</v>
      </c>
      <c r="B1718" t="s">
        <v>4</v>
      </c>
      <c r="C1718" t="s">
        <v>33</v>
      </c>
      <c r="D1718">
        <v>74</v>
      </c>
      <c r="E1718">
        <v>53</v>
      </c>
      <c r="F1718">
        <v>21</v>
      </c>
      <c r="G1718">
        <v>2</v>
      </c>
      <c r="H1718" s="1">
        <v>8.2175925925925927E-4</v>
      </c>
      <c r="I1718">
        <v>2018</v>
      </c>
      <c r="J1718" t="s">
        <v>12</v>
      </c>
      <c r="K1718" s="2" t="str">
        <f>HYPERLINK("https://www.nba.com/stats/events?CFID=&amp;CFPARAMS=&amp;GameEventID=301&amp;GameID=0021800763&amp;Season=2018-19&amp;flag=1&amp;title=Harkless%204'%20Driving%20Floating%20Bank%20Jump%20Shot%20(2%20PTS)%20(Leonard%202%20AST)", "Harkless 4' Driving Floating Bank Jump Shot (2 PTS) (Leonard 2 AST)")</f>
        <v>Harkless 4' Driving Floating Bank Jump Shot (2 PTS) (Leonard 2 AST)</v>
      </c>
      <c r="L1718" s="2" t="str">
        <f>HYPERLINK("https://www.nba.com/game/...-vs-...-0021800763/play-by-play?watchFullGame=true", "POR vs UTA - Q2 01:11.00")</f>
        <v>POR vs UTA - Q2 01:11.00</v>
      </c>
      <c r="M1718">
        <v>4</v>
      </c>
      <c r="N1718">
        <v>38</v>
      </c>
      <c r="O1718">
        <v>19</v>
      </c>
      <c r="P1718">
        <v>38</v>
      </c>
      <c r="Q1718">
        <v>19</v>
      </c>
      <c r="R1718" t="s">
        <v>0</v>
      </c>
      <c r="S1718" t="s">
        <v>0</v>
      </c>
      <c r="T1718" t="s">
        <v>0</v>
      </c>
    </row>
    <row r="1719" spans="1:20" x14ac:dyDescent="0.25">
      <c r="A1719">
        <v>21800930</v>
      </c>
      <c r="B1719" t="s">
        <v>4</v>
      </c>
      <c r="C1719" t="s">
        <v>37</v>
      </c>
      <c r="D1719">
        <v>15</v>
      </c>
      <c r="E1719">
        <v>20</v>
      </c>
      <c r="F1719">
        <v>5</v>
      </c>
      <c r="G1719">
        <v>1</v>
      </c>
      <c r="H1719" s="1">
        <v>3.3217592592592591E-3</v>
      </c>
      <c r="I1719">
        <v>2018</v>
      </c>
      <c r="J1719" t="s">
        <v>12</v>
      </c>
      <c r="K1719" s="2" t="str">
        <f>HYPERLINK("https://www.nba.com/stats/events?CFID=&amp;CFPARAMS=&amp;GameEventID=78&amp;GameID=0021800930&amp;Season=2018-19&amp;flag=1&amp;title=Lillard%201'%20Driving%20Dunk%20(2%20PTS)%20(Leonard%201%20AST)", "Lillard 1' Driving Dunk (2 PTS) (Leonard 1 AST)")</f>
        <v>Lillard 1' Driving Dunk (2 PTS) (Leonard 1 AST)</v>
      </c>
      <c r="L1719" s="2" t="str">
        <f>HYPERLINK("https://www.nba.com/game/...-vs-...-0021800930/play-by-play?watchFullGame=true", "POR vs TOR - Q1 04:47.00")</f>
        <v>POR vs TOR - Q1 04:47.00</v>
      </c>
      <c r="M1719">
        <v>1</v>
      </c>
      <c r="N1719">
        <v>3</v>
      </c>
      <c r="O1719">
        <v>10</v>
      </c>
      <c r="P1719">
        <v>3</v>
      </c>
      <c r="Q1719">
        <v>10</v>
      </c>
      <c r="R1719" t="s">
        <v>0</v>
      </c>
      <c r="S1719" t="s">
        <v>0</v>
      </c>
      <c r="T1719" t="s">
        <v>0</v>
      </c>
    </row>
    <row r="1720" spans="1:20" x14ac:dyDescent="0.25">
      <c r="A1720">
        <v>21801044</v>
      </c>
      <c r="B1720" t="s">
        <v>10</v>
      </c>
      <c r="C1720" t="s">
        <v>9</v>
      </c>
      <c r="D1720">
        <v>89</v>
      </c>
      <c r="E1720">
        <v>87</v>
      </c>
      <c r="F1720">
        <v>2</v>
      </c>
      <c r="G1720">
        <v>4</v>
      </c>
      <c r="H1720" s="1">
        <v>6.4351851851851853E-3</v>
      </c>
      <c r="I1720">
        <v>2018</v>
      </c>
      <c r="J1720" t="s">
        <v>1</v>
      </c>
      <c r="K1720" s="2" t="str">
        <f>HYPERLINK("https://www.nba.com/stats/events?CFID=&amp;CFPARAMS=&amp;GameEventID=468&amp;GameID=0021801044&amp;Season=2018-19&amp;flag=1&amp;title=Lin%2027'%203PT%20Jump%20Shot%20(3%20PTS)%20(Leonard%202%20AST)", "Lin 27' 3PT Jump Shot (3 PTS) (Leonard 2 AST)")</f>
        <v>Lin 27' 3PT Jump Shot (3 PTS) (Leonard 2 AST)</v>
      </c>
      <c r="L1720" s="2" t="str">
        <f>HYPERLINK("https://www.nba.com/game/...-vs-...-0021801044/play-by-play?watchFullGame=true", "TOR vs DET - Q4 09:16.00")</f>
        <v>TOR vs DET - Q4 09:16.00</v>
      </c>
      <c r="M1720">
        <v>27</v>
      </c>
      <c r="N1720">
        <v>112</v>
      </c>
      <c r="O1720">
        <v>248</v>
      </c>
      <c r="P1720">
        <v>112</v>
      </c>
      <c r="Q1720">
        <v>248</v>
      </c>
      <c r="R1720" t="s">
        <v>0</v>
      </c>
      <c r="S1720" t="s">
        <v>0</v>
      </c>
      <c r="T1720" t="s">
        <v>0</v>
      </c>
    </row>
    <row r="1721" spans="1:20" x14ac:dyDescent="0.25">
      <c r="A1721">
        <v>21800216</v>
      </c>
      <c r="B1721" t="s">
        <v>10</v>
      </c>
      <c r="C1721" t="s">
        <v>9</v>
      </c>
      <c r="D1721">
        <v>10</v>
      </c>
      <c r="E1721">
        <v>5</v>
      </c>
      <c r="F1721">
        <v>5</v>
      </c>
      <c r="G1721">
        <v>1</v>
      </c>
      <c r="H1721" s="1">
        <v>6.7129629629629631E-3</v>
      </c>
      <c r="I1721">
        <v>2018</v>
      </c>
      <c r="J1721" t="s">
        <v>1</v>
      </c>
      <c r="K1721" s="2" t="str">
        <f>HYPERLINK("https://www.nba.com/stats/events?CFID=&amp;CFPARAMS=&amp;GameEventID=29&amp;GameID=0021800216&amp;Season=2018-19&amp;flag=1&amp;title=Ibaka%2025'%203PT%20Jump%20Shot%20(3%20PTS)%20(Leonard%202%20AST)", "Ibaka 25' 3PT Jump Shot (3 PTS) (Leonard 2 AST)")</f>
        <v>Ibaka 25' 3PT Jump Shot (3 PTS) (Leonard 2 AST)</v>
      </c>
      <c r="L1721" s="2" t="str">
        <f>HYPERLINK("https://www.nba.com/game/...-vs-...-0021800216/play-by-play?watchFullGame=true", "TOR vs BOS - Q1 09:40.00")</f>
        <v>TOR vs BOS - Q1 09:40.00</v>
      </c>
      <c r="M1721">
        <v>25</v>
      </c>
      <c r="N1721">
        <v>174</v>
      </c>
      <c r="O1721">
        <v>180</v>
      </c>
      <c r="P1721">
        <v>174</v>
      </c>
      <c r="Q1721">
        <v>180</v>
      </c>
      <c r="R1721" t="s">
        <v>0</v>
      </c>
      <c r="S1721" t="s">
        <v>0</v>
      </c>
      <c r="T1721" t="s">
        <v>0</v>
      </c>
    </row>
    <row r="1722" spans="1:20" x14ac:dyDescent="0.25">
      <c r="A1722">
        <v>21800248</v>
      </c>
      <c r="B1722" t="s">
        <v>4</v>
      </c>
      <c r="C1722" t="s">
        <v>9</v>
      </c>
      <c r="D1722">
        <v>87</v>
      </c>
      <c r="E1722">
        <v>85</v>
      </c>
      <c r="F1722">
        <v>2</v>
      </c>
      <c r="G1722">
        <v>4</v>
      </c>
      <c r="H1722" s="1">
        <v>2.0717592592592593E-3</v>
      </c>
      <c r="I1722">
        <v>2018</v>
      </c>
      <c r="J1722" t="s">
        <v>1</v>
      </c>
      <c r="K1722" s="2" t="str">
        <f>HYPERLINK("https://www.nba.com/stats/events?CFID=&amp;CFPARAMS=&amp;GameEventID=550&amp;GameID=0021800248&amp;Season=2018-19&amp;flag=1&amp;title=Ibaka%2021'%20Jump%20Shot%20(12%20PTS)%20(Leonard%202%20AST)", "Ibaka 21' Jump Shot (12 PTS) (Leonard 2 AST)")</f>
        <v>Ibaka 21' Jump Shot (12 PTS) (Leonard 2 AST)</v>
      </c>
      <c r="L1722" s="2" t="str">
        <f>HYPERLINK("https://www.nba.com/game/...-vs-...-0021800248/play-by-play?watchFullGame=true", "TOR vs ORL - Q4 02:59.00")</f>
        <v>TOR vs ORL - Q4 02:59.00</v>
      </c>
      <c r="M1722">
        <v>21</v>
      </c>
      <c r="N1722">
        <v>29</v>
      </c>
      <c r="O1722">
        <v>204</v>
      </c>
      <c r="P1722">
        <v>29</v>
      </c>
      <c r="Q1722">
        <v>204</v>
      </c>
      <c r="R1722" t="s">
        <v>0</v>
      </c>
      <c r="S1722" t="s">
        <v>0</v>
      </c>
      <c r="T1722" t="s">
        <v>0</v>
      </c>
    </row>
    <row r="1723" spans="1:20" x14ac:dyDescent="0.25">
      <c r="A1723">
        <v>21800303</v>
      </c>
      <c r="B1723" t="s">
        <v>10</v>
      </c>
      <c r="C1723" t="s">
        <v>3</v>
      </c>
      <c r="D1723">
        <v>116</v>
      </c>
      <c r="E1723">
        <v>109</v>
      </c>
      <c r="F1723">
        <v>7</v>
      </c>
      <c r="G1723">
        <v>4</v>
      </c>
      <c r="H1723" s="1">
        <v>1.4236111111111112E-3</v>
      </c>
      <c r="I1723">
        <v>2018</v>
      </c>
      <c r="J1723" t="s">
        <v>1</v>
      </c>
      <c r="K1723" s="2" t="str">
        <f>HYPERLINK("https://www.nba.com/stats/events?CFID=&amp;CFPARAMS=&amp;GameEventID=597&amp;GameID=0021800303&amp;Season=2018-19&amp;flag=1&amp;title=VanVleet%2024'%203PT%20Running%20Jump%20Shot%20(16%20PTS)%20(Leonard%205%20AST)", "VanVleet 24' 3PT Running Jump Shot (16 PTS) (Leonard 5 AST)")</f>
        <v>VanVleet 24' 3PT Running Jump Shot (16 PTS) (Leonard 5 AST)</v>
      </c>
      <c r="L1723" s="2" t="str">
        <f>HYPERLINK("https://www.nba.com/game/...-vs-...-0021800303/play-by-play?watchFullGame=true", "TOR vs MEM - Q4 02:03.00")</f>
        <v>TOR vs MEM - Q4 02:03.00</v>
      </c>
      <c r="M1723">
        <v>24</v>
      </c>
      <c r="N1723">
        <v>230</v>
      </c>
      <c r="O1723">
        <v>62</v>
      </c>
      <c r="P1723">
        <v>230</v>
      </c>
      <c r="Q1723">
        <v>62</v>
      </c>
      <c r="R1723" t="s">
        <v>0</v>
      </c>
      <c r="S1723" t="s">
        <v>0</v>
      </c>
      <c r="T1723" t="s">
        <v>0</v>
      </c>
    </row>
    <row r="1724" spans="1:20" x14ac:dyDescent="0.25">
      <c r="A1724">
        <v>21800402</v>
      </c>
      <c r="B1724" t="s">
        <v>4</v>
      </c>
      <c r="C1724" t="s">
        <v>6</v>
      </c>
      <c r="D1724">
        <v>104</v>
      </c>
      <c r="E1724">
        <v>111</v>
      </c>
      <c r="F1724">
        <v>7</v>
      </c>
      <c r="G1724">
        <v>4</v>
      </c>
      <c r="H1724" s="1">
        <v>2.7777777777777778E-4</v>
      </c>
      <c r="I1724">
        <v>2018</v>
      </c>
      <c r="J1724" t="s">
        <v>12</v>
      </c>
      <c r="K1724" s="2" t="str">
        <f>HYPERLINK("https://www.nba.com/stats/events?CFID=&amp;CFPARAMS=&amp;GameEventID=624&amp;GameID=0021800402&amp;Season=2018-19&amp;flag=1&amp;title=Harkless%202'%20Cutting%20Dunk%20Shot%20(9%20PTS)%20(Leonard%201%20AST)", "Harkless 2' Cutting Dunk Shot (9 PTS) (Leonard 1 AST)")</f>
        <v>Harkless 2' Cutting Dunk Shot (9 PTS) (Leonard 1 AST)</v>
      </c>
      <c r="L1724" s="2" t="str">
        <f>HYPERLINK("https://www.nba.com/game/...-vs-...-0021800402/play-by-play?watchFullGame=true", "POR vs HOU - Q4 00:24.00")</f>
        <v>POR vs HOU - Q4 00:24.00</v>
      </c>
      <c r="M1724">
        <v>2</v>
      </c>
      <c r="N1724">
        <v>2</v>
      </c>
      <c r="O1724">
        <v>15</v>
      </c>
      <c r="P1724">
        <v>2</v>
      </c>
      <c r="Q1724">
        <v>15</v>
      </c>
      <c r="R1724" t="s">
        <v>0</v>
      </c>
      <c r="S1724" t="s">
        <v>0</v>
      </c>
      <c r="T1724" t="s">
        <v>0</v>
      </c>
    </row>
    <row r="1725" spans="1:20" x14ac:dyDescent="0.25">
      <c r="A1725">
        <v>21800563</v>
      </c>
      <c r="B1725" t="s">
        <v>4</v>
      </c>
      <c r="C1725" t="s">
        <v>24</v>
      </c>
      <c r="D1725">
        <v>70</v>
      </c>
      <c r="E1725">
        <v>90</v>
      </c>
      <c r="F1725">
        <v>20</v>
      </c>
      <c r="G1725">
        <v>3</v>
      </c>
      <c r="H1725" s="1">
        <v>1.2962962962962963E-3</v>
      </c>
      <c r="I1725">
        <v>2018</v>
      </c>
      <c r="J1725" t="s">
        <v>1</v>
      </c>
      <c r="K1725" s="2" t="str">
        <f>HYPERLINK("https://www.nba.com/stats/events?CFID=&amp;CFPARAMS=&amp;GameEventID=440&amp;GameID=0021800563&amp;Season=2018-19&amp;flag=1&amp;title=Siakam%201'%20Cutting%20Finger%20Roll%20Layup%20Shot%20(10%20PTS)%20(Leonard%204%20AST)", "Siakam 1' Cutting Finger Roll Layup Shot (10 PTS) (Leonard 4 AST)")</f>
        <v>Siakam 1' Cutting Finger Roll Layup Shot (10 PTS) (Leonard 4 AST)</v>
      </c>
      <c r="L1725" s="2" t="str">
        <f>HYPERLINK("https://www.nba.com/game/...-vs-...-0021800563/play-by-play?watchFullGame=true", "TOR vs SAS - Q3 01:52.00")</f>
        <v>TOR vs SAS - Q3 01:52.00</v>
      </c>
      <c r="M1725">
        <v>1</v>
      </c>
      <c r="N1725">
        <v>8</v>
      </c>
      <c r="O1725">
        <v>8</v>
      </c>
      <c r="P1725">
        <v>8</v>
      </c>
      <c r="Q1725">
        <v>8</v>
      </c>
      <c r="R1725" t="s">
        <v>0</v>
      </c>
      <c r="S1725" t="s">
        <v>0</v>
      </c>
      <c r="T1725" t="s">
        <v>0</v>
      </c>
    </row>
    <row r="1726" spans="1:20" x14ac:dyDescent="0.25">
      <c r="A1726">
        <v>21800580</v>
      </c>
      <c r="B1726" t="s">
        <v>10</v>
      </c>
      <c r="C1726" t="s">
        <v>9</v>
      </c>
      <c r="D1726">
        <v>86</v>
      </c>
      <c r="E1726">
        <v>79</v>
      </c>
      <c r="F1726">
        <v>7</v>
      </c>
      <c r="G1726">
        <v>3</v>
      </c>
      <c r="H1726" s="1">
        <v>1.3310185185185185E-3</v>
      </c>
      <c r="I1726">
        <v>2018</v>
      </c>
      <c r="J1726" t="s">
        <v>1</v>
      </c>
      <c r="K1726" s="2" t="str">
        <f>HYPERLINK("https://www.nba.com/stats/events?CFID=&amp;CFPARAMS=&amp;GameEventID=440&amp;GameID=0021800580&amp;Season=2018-19&amp;flag=1&amp;title=Siakam%2027'%203PT%20Jump%20Shot%20(19%20PTS)%20(Leonard%205%20AST)", "Siakam 27' 3PT Jump Shot (19 PTS) (Leonard 5 AST)")</f>
        <v>Siakam 27' 3PT Jump Shot (19 PTS) (Leonard 5 AST)</v>
      </c>
      <c r="L1726" s="2" t="str">
        <f>HYPERLINK("https://www.nba.com/game/...-vs-...-0021800580/play-by-play?watchFullGame=true", "TOR vs MIL - Q3 01:55.00")</f>
        <v>TOR vs MIL - Q3 01:55.00</v>
      </c>
      <c r="M1726">
        <v>27</v>
      </c>
      <c r="N1726">
        <v>101</v>
      </c>
      <c r="O1726">
        <v>253</v>
      </c>
      <c r="P1726">
        <v>101</v>
      </c>
      <c r="Q1726">
        <v>253</v>
      </c>
      <c r="R1726" t="s">
        <v>0</v>
      </c>
      <c r="S1726" t="s">
        <v>0</v>
      </c>
      <c r="T1726" t="s">
        <v>0</v>
      </c>
    </row>
    <row r="1727" spans="1:20" x14ac:dyDescent="0.25">
      <c r="A1727">
        <v>21800658</v>
      </c>
      <c r="B1727" t="s">
        <v>4</v>
      </c>
      <c r="C1727" t="s">
        <v>28</v>
      </c>
      <c r="D1727">
        <v>14</v>
      </c>
      <c r="E1727">
        <v>7</v>
      </c>
      <c r="F1727">
        <v>7</v>
      </c>
      <c r="G1727">
        <v>1</v>
      </c>
      <c r="H1727" s="1">
        <v>5.6134259259259262E-3</v>
      </c>
      <c r="I1727">
        <v>2018</v>
      </c>
      <c r="J1727" t="s">
        <v>1</v>
      </c>
      <c r="K1727" s="2" t="str">
        <f>HYPERLINK("https://www.nba.com/stats/events?CFID=&amp;CFPARAMS=&amp;GameEventID=41&amp;GameID=0021800658&amp;Season=2018-19&amp;flag=1&amp;title=Green%204'%20Driving%20Finger%20Roll%20Layup%20(4%20PTS)%20(Leonard%201%20AST)", "Green 4' Driving Finger Roll Layup (4 PTS) (Leonard 1 AST)")</f>
        <v>Green 4' Driving Finger Roll Layup (4 PTS) (Leonard 1 AST)</v>
      </c>
      <c r="L1727" s="2" t="str">
        <f>HYPERLINK("https://www.nba.com/game/...-vs-...-0021800658/play-by-play?watchFullGame=true", "TOR vs BOS - Q1 08:05.00")</f>
        <v>TOR vs BOS - Q1 08:05.00</v>
      </c>
      <c r="M1727">
        <v>4</v>
      </c>
      <c r="N1727">
        <v>-30</v>
      </c>
      <c r="O1727">
        <v>20</v>
      </c>
      <c r="P1727">
        <v>-30</v>
      </c>
      <c r="Q1727">
        <v>20</v>
      </c>
      <c r="R1727" t="s">
        <v>0</v>
      </c>
      <c r="S1727" t="s">
        <v>0</v>
      </c>
      <c r="T1727" t="s">
        <v>0</v>
      </c>
    </row>
    <row r="1728" spans="1:20" x14ac:dyDescent="0.25">
      <c r="A1728">
        <v>21800677</v>
      </c>
      <c r="B1728" t="s">
        <v>4</v>
      </c>
      <c r="C1728" t="s">
        <v>9</v>
      </c>
      <c r="D1728">
        <v>109</v>
      </c>
      <c r="E1728">
        <v>99</v>
      </c>
      <c r="F1728">
        <v>10</v>
      </c>
      <c r="G1728">
        <v>4</v>
      </c>
      <c r="H1728" s="1">
        <v>5.2893518518518515E-3</v>
      </c>
      <c r="I1728">
        <v>2018</v>
      </c>
      <c r="J1728" t="s">
        <v>12</v>
      </c>
      <c r="K1728" s="2" t="str">
        <f>HYPERLINK("https://www.nba.com/stats/events?CFID=&amp;CFPARAMS=&amp;GameEventID=570&amp;GameID=0021800677&amp;Season=2018-19&amp;flag=1&amp;title=McCollum%2021'%20Jump%20Shot%20(19%20PTS)%20(Leonard%201%20AST)", "McCollum 21' Jump Shot (19 PTS) (Leonard 1 AST)")</f>
        <v>McCollum 21' Jump Shot (19 PTS) (Leonard 1 AST)</v>
      </c>
      <c r="L1728" s="2" t="str">
        <f>HYPERLINK("https://www.nba.com/game/...-vs-...-0021800677/play-by-play?watchFullGame=true", "POR vs NOP - Q4 07:37.00")</f>
        <v>POR vs NOP - Q4 07:37.00</v>
      </c>
      <c r="M1728">
        <v>21</v>
      </c>
      <c r="N1728">
        <v>-96</v>
      </c>
      <c r="O1728">
        <v>187</v>
      </c>
      <c r="P1728">
        <v>-96</v>
      </c>
      <c r="Q1728">
        <v>187</v>
      </c>
      <c r="R1728" t="s">
        <v>0</v>
      </c>
      <c r="S1728" t="s">
        <v>0</v>
      </c>
      <c r="T1728" t="s">
        <v>0</v>
      </c>
    </row>
    <row r="1729" spans="1:20" x14ac:dyDescent="0.25">
      <c r="A1729">
        <v>21600353</v>
      </c>
      <c r="B1729" t="s">
        <v>10</v>
      </c>
      <c r="C1729" t="s">
        <v>9</v>
      </c>
      <c r="D1729">
        <v>18</v>
      </c>
      <c r="E1729">
        <v>10</v>
      </c>
      <c r="F1729">
        <v>8</v>
      </c>
      <c r="G1729">
        <v>1</v>
      </c>
      <c r="H1729" s="1">
        <v>4.7800925925925927E-3</v>
      </c>
      <c r="I1729">
        <v>2016</v>
      </c>
      <c r="J1729" t="s">
        <v>7</v>
      </c>
      <c r="K1729" s="2" t="str">
        <f>HYPERLINK("https://www.nba.com/stats/events?CFID=&amp;CFPARAMS=&amp;GameEventID=34&amp;GameID=0021600353&amp;Season=2016-17&amp;flag=1&amp;title=Parker%20%203PT%20Jump%20Shot%20(7%20PTS)%20(Leonard%201%20AST)", "Parker  3PT Jump Shot (7 PTS) (Leonard 1 AST)")</f>
        <v>Parker  3PT Jump Shot (7 PTS) (Leonard 1 AST)</v>
      </c>
      <c r="L1729" s="2" t="str">
        <f>HYPERLINK("https://www.nba.com/game/...-vs-...-0021600353/play-by-play?watchFullGame=true", "SAS vs BKN - Q1 06:53.00")</f>
        <v>SAS vs BKN - Q1 06:53.00</v>
      </c>
      <c r="M1729">
        <v>0</v>
      </c>
      <c r="N1729">
        <v>-232</v>
      </c>
      <c r="O1729">
        <v>7</v>
      </c>
      <c r="P1729">
        <v>-232</v>
      </c>
      <c r="Q1729">
        <v>7</v>
      </c>
      <c r="R1729" t="s">
        <v>0</v>
      </c>
      <c r="S1729" t="s">
        <v>0</v>
      </c>
      <c r="T1729" t="s">
        <v>0</v>
      </c>
    </row>
    <row r="1730" spans="1:20" x14ac:dyDescent="0.25">
      <c r="A1730">
        <v>21600484</v>
      </c>
      <c r="B1730" t="s">
        <v>4</v>
      </c>
      <c r="C1730" t="s">
        <v>9</v>
      </c>
      <c r="D1730">
        <v>32</v>
      </c>
      <c r="E1730">
        <v>21</v>
      </c>
      <c r="F1730">
        <v>11</v>
      </c>
      <c r="G1730">
        <v>2</v>
      </c>
      <c r="H1730" s="1">
        <v>8.0902777777777778E-3</v>
      </c>
      <c r="I1730">
        <v>2016</v>
      </c>
      <c r="J1730" t="s">
        <v>12</v>
      </c>
      <c r="K1730" s="2" t="str">
        <f>HYPERLINK("https://www.nba.com/stats/events?CFID=&amp;CFPARAMS=&amp;GameEventID=130&amp;GameID=0021600484&amp;Season=2016-17&amp;flag=1&amp;title=Crabbe%2023'%20Jump%20Shot%20(5%20PTS)%20(Leonard%201%20AST)", "Crabbe 23' Jump Shot (5 PTS) (Leonard 1 AST)")</f>
        <v>Crabbe 23' Jump Shot (5 PTS) (Leonard 1 AST)</v>
      </c>
      <c r="L1730" s="2" t="str">
        <f>HYPERLINK("https://www.nba.com/game/...-vs-...-0021600484/play-by-play?watchFullGame=true", "POR vs SAC - Q2 11:39.00")</f>
        <v>POR vs SAC - Q2 11:39.00</v>
      </c>
      <c r="M1730">
        <v>23</v>
      </c>
      <c r="N1730">
        <v>-17</v>
      </c>
      <c r="O1730">
        <v>228</v>
      </c>
      <c r="P1730">
        <v>-17</v>
      </c>
      <c r="Q1730">
        <v>228</v>
      </c>
      <c r="R1730" t="s">
        <v>0</v>
      </c>
      <c r="S1730" t="s">
        <v>0</v>
      </c>
      <c r="T1730" t="s">
        <v>0</v>
      </c>
    </row>
    <row r="1731" spans="1:20" x14ac:dyDescent="0.25">
      <c r="A1731">
        <v>21600558</v>
      </c>
      <c r="B1731" t="s">
        <v>10</v>
      </c>
      <c r="C1731" t="s">
        <v>9</v>
      </c>
      <c r="D1731">
        <v>10</v>
      </c>
      <c r="E1731">
        <v>10</v>
      </c>
      <c r="F1731">
        <v>0</v>
      </c>
      <c r="G1731">
        <v>1</v>
      </c>
      <c r="H1731" s="1">
        <v>5.0810185185185186E-3</v>
      </c>
      <c r="I1731">
        <v>2016</v>
      </c>
      <c r="J1731" t="s">
        <v>7</v>
      </c>
      <c r="K1731" s="2" t="str">
        <f>HYPERLINK("https://www.nba.com/stats/events?CFID=&amp;CFPARAMS=&amp;GameEventID=28&amp;GameID=0021600558&amp;Season=2016-17&amp;flag=1&amp;title=Green%2024'%203PT%20Jump%20Shot%20(3%20PTS)%20(Leonard%201%20AST)", "Green 24' 3PT Jump Shot (3 PTS) (Leonard 1 AST)")</f>
        <v>Green 24' 3PT Jump Shot (3 PTS) (Leonard 1 AST)</v>
      </c>
      <c r="L1731" s="2" t="str">
        <f>HYPERLINK("https://www.nba.com/game/...-vs-...-0021600558/play-by-play?watchFullGame=true", "SAS vs CHA - Q1 07:19.00")</f>
        <v>SAS vs CHA - Q1 07:19.00</v>
      </c>
      <c r="M1731">
        <v>24</v>
      </c>
      <c r="N1731">
        <v>-241</v>
      </c>
      <c r="O1731">
        <v>-1</v>
      </c>
      <c r="P1731">
        <v>-241</v>
      </c>
      <c r="Q1731">
        <v>-1</v>
      </c>
      <c r="R1731" t="s">
        <v>0</v>
      </c>
      <c r="S1731" t="s">
        <v>0</v>
      </c>
      <c r="T1731" t="s">
        <v>0</v>
      </c>
    </row>
    <row r="1732" spans="1:20" x14ac:dyDescent="0.25">
      <c r="A1732">
        <v>21600728</v>
      </c>
      <c r="B1732" t="s">
        <v>4</v>
      </c>
      <c r="C1732" t="s">
        <v>19</v>
      </c>
      <c r="D1732">
        <v>30</v>
      </c>
      <c r="E1732">
        <v>23</v>
      </c>
      <c r="F1732">
        <v>7</v>
      </c>
      <c r="G1732">
        <v>2</v>
      </c>
      <c r="H1732" s="1">
        <v>8.1597222222222227E-3</v>
      </c>
      <c r="I1732">
        <v>2016</v>
      </c>
      <c r="J1732" t="s">
        <v>12</v>
      </c>
      <c r="K1732" s="2" t="str">
        <f>HYPERLINK("https://www.nba.com/stats/events?CFID=&amp;CFPARAMS=&amp;GameEventID=133&amp;GameID=0021600728&amp;Season=2016-17&amp;flag=1&amp;title=Crabbe%2018'%20Pullup%20Jump%20Shot%20(4%20PTS)%20(Leonard%201%20AST)", "Crabbe 18' Pullup Jump Shot (4 PTS) (Leonard 1 AST)")</f>
        <v>Crabbe 18' Pullup Jump Shot (4 PTS) (Leonard 1 AST)</v>
      </c>
      <c r="L1732" s="2" t="str">
        <f>HYPERLINK("https://www.nba.com/game/...-vs-...-0021600728/play-by-play?watchFullGame=true", "POR vs CHA - Q2 11:45.00")</f>
        <v>POR vs CHA - Q2 11:45.00</v>
      </c>
      <c r="M1732">
        <v>18</v>
      </c>
      <c r="N1732">
        <v>-119</v>
      </c>
      <c r="O1732">
        <v>139</v>
      </c>
      <c r="P1732">
        <v>-119</v>
      </c>
      <c r="Q1732">
        <v>139</v>
      </c>
      <c r="R1732" t="s">
        <v>0</v>
      </c>
      <c r="S1732" t="s">
        <v>0</v>
      </c>
      <c r="T1732" t="s">
        <v>0</v>
      </c>
    </row>
    <row r="1733" spans="1:20" x14ac:dyDescent="0.25">
      <c r="A1733">
        <v>21600983</v>
      </c>
      <c r="B1733" t="s">
        <v>10</v>
      </c>
      <c r="C1733" t="s">
        <v>9</v>
      </c>
      <c r="D1733">
        <v>26</v>
      </c>
      <c r="E1733">
        <v>21</v>
      </c>
      <c r="F1733">
        <v>5</v>
      </c>
      <c r="G1733">
        <v>1</v>
      </c>
      <c r="H1733" s="1">
        <v>2.5231481481481481E-3</v>
      </c>
      <c r="I1733">
        <v>2016</v>
      </c>
      <c r="J1733" t="s">
        <v>12</v>
      </c>
      <c r="K1733" s="2" t="str">
        <f>HYPERLINK("https://www.nba.com/stats/events?CFID=&amp;CFPARAMS=&amp;GameEventID=66&amp;GameID=0021600983&amp;Season=2016-17&amp;flag=1&amp;title=Lillard%2027'%203PT%20Jump%20Shot%20(8%20PTS)%20(Leonard%201%20AST)", "Lillard 27' 3PT Jump Shot (8 PTS) (Leonard 1 AST)")</f>
        <v>Lillard 27' 3PT Jump Shot (8 PTS) (Leonard 1 AST)</v>
      </c>
      <c r="L1733" s="2" t="str">
        <f>HYPERLINK("https://www.nba.com/game/...-vs-...-0021600983/play-by-play?watchFullGame=true", "POR vs WAS - Q1 03:38.00")</f>
        <v>POR vs WAS - Q1 03:38.00</v>
      </c>
      <c r="M1733">
        <v>27</v>
      </c>
      <c r="N1733">
        <v>-178</v>
      </c>
      <c r="O1733">
        <v>203</v>
      </c>
      <c r="P1733">
        <v>-178</v>
      </c>
      <c r="Q1733">
        <v>203</v>
      </c>
      <c r="R1733" t="s">
        <v>0</v>
      </c>
      <c r="S1733" t="s">
        <v>0</v>
      </c>
      <c r="T1733" t="s">
        <v>0</v>
      </c>
    </row>
    <row r="1734" spans="1:20" x14ac:dyDescent="0.25">
      <c r="A1734">
        <v>21601056</v>
      </c>
      <c r="B1734" t="s">
        <v>4</v>
      </c>
      <c r="C1734" t="s">
        <v>6</v>
      </c>
      <c r="D1734">
        <v>17</v>
      </c>
      <c r="E1734">
        <v>15</v>
      </c>
      <c r="F1734">
        <v>2</v>
      </c>
      <c r="G1734">
        <v>1</v>
      </c>
      <c r="H1734" s="1">
        <v>2.0370370370370369E-3</v>
      </c>
      <c r="I1734">
        <v>2016</v>
      </c>
      <c r="J1734" t="s">
        <v>7</v>
      </c>
      <c r="K1734" s="2" t="str">
        <f>HYPERLINK("https://www.nba.com/stats/events?CFID=&amp;CFPARAMS=&amp;GameEventID=82&amp;GameID=0021601056&amp;Season=2016-17&amp;flag=1&amp;title=Aldridge%20%20Cutting%20Dunk%20Shot%20(12%20PTS)%20(Leonard%203%20AST)", "Aldridge  Cutting Dunk Shot (12 PTS) (Leonard 3 AST)")</f>
        <v>Aldridge  Cutting Dunk Shot (12 PTS) (Leonard 3 AST)</v>
      </c>
      <c r="L1734" s="2" t="str">
        <f>HYPERLINK("https://www.nba.com/game/...-vs-...-0021601056/play-by-play?watchFullGame=true", "SAS vs MIN - Q1 02:56.00")</f>
        <v>SAS vs MIN - Q1 02:56.00</v>
      </c>
      <c r="M1734">
        <v>0</v>
      </c>
      <c r="N1734">
        <v>0</v>
      </c>
      <c r="O1734">
        <v>1</v>
      </c>
      <c r="P1734">
        <v>0</v>
      </c>
      <c r="Q1734">
        <v>1</v>
      </c>
      <c r="R1734" t="s">
        <v>0</v>
      </c>
      <c r="S1734" t="s">
        <v>0</v>
      </c>
      <c r="T1734" t="s">
        <v>0</v>
      </c>
    </row>
    <row r="1735" spans="1:20" x14ac:dyDescent="0.25">
      <c r="A1735">
        <v>21601118</v>
      </c>
      <c r="B1735" t="s">
        <v>10</v>
      </c>
      <c r="C1735" t="s">
        <v>19</v>
      </c>
      <c r="D1735">
        <v>26</v>
      </c>
      <c r="E1735">
        <v>5</v>
      </c>
      <c r="F1735">
        <v>21</v>
      </c>
      <c r="G1735">
        <v>1</v>
      </c>
      <c r="H1735" s="1">
        <v>3.0324074074074073E-3</v>
      </c>
      <c r="I1735">
        <v>2016</v>
      </c>
      <c r="J1735" t="s">
        <v>7</v>
      </c>
      <c r="K1735" s="2" t="str">
        <f>HYPERLINK("https://www.nba.com/stats/events?CFID=&amp;CFPARAMS=&amp;GameEventID=86&amp;GameID=0021601118&amp;Season=2016-17&amp;flag=1&amp;title=Mills%2024'%203PT%20Pullup%20Jump%20Shot%20(3%20PTS)%20(Leonard%202%20AST)", "Mills 24' 3PT Pullup Jump Shot (3 PTS) (Leonard 2 AST)")</f>
        <v>Mills 24' 3PT Pullup Jump Shot (3 PTS) (Leonard 2 AST)</v>
      </c>
      <c r="L1735" s="2" t="str">
        <f>HYPERLINK("https://www.nba.com/game/...-vs-...-0021601118/play-by-play?watchFullGame=true", "SAS vs GSW - Q1 04:22.00")</f>
        <v>SAS vs GSW - Q1 04:22.00</v>
      </c>
      <c r="M1735">
        <v>24</v>
      </c>
      <c r="N1735">
        <v>156</v>
      </c>
      <c r="O1735">
        <v>185</v>
      </c>
      <c r="P1735">
        <v>156</v>
      </c>
      <c r="Q1735">
        <v>185</v>
      </c>
      <c r="R1735" t="s">
        <v>0</v>
      </c>
      <c r="S1735" t="s">
        <v>0</v>
      </c>
      <c r="T1735" t="s">
        <v>0</v>
      </c>
    </row>
    <row r="1736" spans="1:20" x14ac:dyDescent="0.25">
      <c r="A1736">
        <v>21601135</v>
      </c>
      <c r="B1736" t="s">
        <v>10</v>
      </c>
      <c r="C1736" t="s">
        <v>9</v>
      </c>
      <c r="D1736">
        <v>51</v>
      </c>
      <c r="E1736">
        <v>69</v>
      </c>
      <c r="F1736">
        <v>18</v>
      </c>
      <c r="G1736">
        <v>3</v>
      </c>
      <c r="H1736" s="1">
        <v>3.8888888888888888E-3</v>
      </c>
      <c r="I1736">
        <v>2016</v>
      </c>
      <c r="J1736" t="s">
        <v>7</v>
      </c>
      <c r="K1736" s="2" t="str">
        <f>HYPERLINK("https://www.nba.com/stats/events?CFID=&amp;CFPARAMS=&amp;GameEventID=347&amp;GameID=0021601135&amp;Season=2016-17&amp;flag=1&amp;title=Ginobili%2024'%203PT%20Jump%20Shot%20(6%20PTS)%20(Leonard%202%20AST)", "Ginobili 24' 3PT Jump Shot (6 PTS) (Leonard 2 AST)")</f>
        <v>Ginobili 24' 3PT Jump Shot (6 PTS) (Leonard 2 AST)</v>
      </c>
      <c r="L1736" s="2" t="str">
        <f>HYPERLINK("https://www.nba.com/game/...-vs-...-0021601135/play-by-play?watchFullGame=true", "SAS vs OKC - Q3 05:36.00")</f>
        <v>SAS vs OKC - Q3 05:36.00</v>
      </c>
      <c r="M1736">
        <v>24</v>
      </c>
      <c r="N1736">
        <v>61</v>
      </c>
      <c r="O1736">
        <v>232</v>
      </c>
      <c r="P1736">
        <v>61</v>
      </c>
      <c r="Q1736">
        <v>232</v>
      </c>
      <c r="R1736" t="s">
        <v>0</v>
      </c>
      <c r="S1736" t="s">
        <v>0</v>
      </c>
      <c r="T1736" t="s">
        <v>0</v>
      </c>
    </row>
    <row r="1737" spans="1:20" x14ac:dyDescent="0.25">
      <c r="A1737">
        <v>21600625</v>
      </c>
      <c r="B1737" t="s">
        <v>10</v>
      </c>
      <c r="C1737" t="s">
        <v>9</v>
      </c>
      <c r="D1737">
        <v>120</v>
      </c>
      <c r="E1737">
        <v>106</v>
      </c>
      <c r="F1737">
        <v>14</v>
      </c>
      <c r="G1737">
        <v>4</v>
      </c>
      <c r="H1737" s="1">
        <v>1.1111111111111111E-3</v>
      </c>
      <c r="I1737">
        <v>2016</v>
      </c>
      <c r="J1737" t="s">
        <v>7</v>
      </c>
      <c r="K1737" s="2" t="str">
        <f>HYPERLINK("https://www.nba.com/stats/events?CFID=&amp;CFPARAMS=&amp;GameEventID=555&amp;GameID=0021600625&amp;Season=2016-17&amp;flag=1&amp;title=Green%2025'%203PT%20Jump%20Shot%20(5%20PTS)%20(Leonard%204%20AST)", "Green 25' 3PT Jump Shot (5 PTS) (Leonard 4 AST)")</f>
        <v>Green 25' 3PT Jump Shot (5 PTS) (Leonard 4 AST)</v>
      </c>
      <c r="L1737" s="2" t="str">
        <f>HYPERLINK("https://www.nba.com/game/...-vs-...-0021600625/play-by-play?watchFullGame=true", "SAS vs MIN - Q4 01:36.00")</f>
        <v>SAS vs MIN - Q4 01:36.00</v>
      </c>
      <c r="M1737">
        <v>25</v>
      </c>
      <c r="N1737">
        <v>155</v>
      </c>
      <c r="O1737">
        <v>198</v>
      </c>
      <c r="P1737">
        <v>155</v>
      </c>
      <c r="Q1737">
        <v>198</v>
      </c>
      <c r="R1737" t="s">
        <v>0</v>
      </c>
      <c r="S1737" t="s">
        <v>0</v>
      </c>
      <c r="T1737" t="s">
        <v>0</v>
      </c>
    </row>
    <row r="1738" spans="1:20" x14ac:dyDescent="0.25">
      <c r="A1738">
        <v>21600701</v>
      </c>
      <c r="B1738" t="s">
        <v>4</v>
      </c>
      <c r="C1738" t="s">
        <v>38</v>
      </c>
      <c r="D1738">
        <v>86</v>
      </c>
      <c r="E1738">
        <v>92</v>
      </c>
      <c r="F1738">
        <v>6</v>
      </c>
      <c r="G1738">
        <v>4</v>
      </c>
      <c r="H1738" s="1">
        <v>6.6319444444444446E-3</v>
      </c>
      <c r="I1738">
        <v>2016</v>
      </c>
      <c r="J1738" t="s">
        <v>7</v>
      </c>
      <c r="K1738" s="2" t="str">
        <f>HYPERLINK("https://www.nba.com/stats/events?CFID=&amp;CFPARAMS=&amp;GameEventID=443&amp;GameID=0021600701&amp;Season=2016-17&amp;flag=1&amp;title=Lee%20%20Dunk%20(12%20PTS)%20(Leonard%205%20AST)", "Lee  Dunk (12 PTS) (Leonard 5 AST)")</f>
        <v>Lee  Dunk (12 PTS) (Leonard 5 AST)</v>
      </c>
      <c r="L1738" s="2" t="str">
        <f>HYPERLINK("https://www.nba.com/game/...-vs-...-0021600701/play-by-play?watchFullGame=true", "SAS vs NOP - Q4 09:33.00")</f>
        <v>SAS vs NOP - Q4 09:33.00</v>
      </c>
      <c r="M1738">
        <v>0</v>
      </c>
      <c r="N1738">
        <v>0</v>
      </c>
      <c r="O1738">
        <v>1</v>
      </c>
      <c r="P1738">
        <v>0</v>
      </c>
      <c r="Q1738">
        <v>1</v>
      </c>
      <c r="R1738" t="s">
        <v>0</v>
      </c>
      <c r="S1738" t="s">
        <v>0</v>
      </c>
      <c r="T1738" t="s">
        <v>0</v>
      </c>
    </row>
    <row r="1739" spans="1:20" x14ac:dyDescent="0.25">
      <c r="A1739">
        <v>21600767</v>
      </c>
      <c r="B1739" t="s">
        <v>4</v>
      </c>
      <c r="C1739" t="s">
        <v>20</v>
      </c>
      <c r="D1739">
        <v>29</v>
      </c>
      <c r="E1739">
        <v>27</v>
      </c>
      <c r="F1739">
        <v>2</v>
      </c>
      <c r="G1739">
        <v>2</v>
      </c>
      <c r="H1739" s="1">
        <v>5.9143518518518521E-3</v>
      </c>
      <c r="I1739">
        <v>2016</v>
      </c>
      <c r="J1739" t="s">
        <v>12</v>
      </c>
      <c r="K1739" s="2" t="str">
        <f>HYPERLINK("https://www.nba.com/stats/events?CFID=&amp;CFPARAMS=&amp;GameEventID=206&amp;GameID=0021600767&amp;Season=2016-17&amp;flag=1&amp;title=Crabbe%202'%20Cutting%20Layup%20Shot%20(5%20PTS)%20(Leonard%202%20AST)", "Crabbe 2' Cutting Layup Shot (5 PTS) (Leonard 2 AST)")</f>
        <v>Crabbe 2' Cutting Layup Shot (5 PTS) (Leonard 2 AST)</v>
      </c>
      <c r="L1739" s="2" t="str">
        <f>HYPERLINK("https://www.nba.com/game/...-vs-...-0021600767/play-by-play?watchFullGame=true", "POR vs OKC - Q2 08:31.00")</f>
        <v>POR vs OKC - Q2 08:31.00</v>
      </c>
      <c r="M1739">
        <v>2</v>
      </c>
      <c r="N1739">
        <v>12</v>
      </c>
      <c r="O1739">
        <v>13</v>
      </c>
      <c r="P1739">
        <v>12</v>
      </c>
      <c r="Q1739">
        <v>13</v>
      </c>
      <c r="R1739" t="s">
        <v>0</v>
      </c>
      <c r="S1739" t="s">
        <v>0</v>
      </c>
      <c r="T1739" t="s">
        <v>0</v>
      </c>
    </row>
    <row r="1740" spans="1:20" x14ac:dyDescent="0.25">
      <c r="A1740">
        <v>21600801</v>
      </c>
      <c r="B1740" t="s">
        <v>4</v>
      </c>
      <c r="C1740" t="s">
        <v>5</v>
      </c>
      <c r="D1740">
        <v>18</v>
      </c>
      <c r="E1740">
        <v>13</v>
      </c>
      <c r="F1740">
        <v>5</v>
      </c>
      <c r="G1740">
        <v>1</v>
      </c>
      <c r="H1740" s="1">
        <v>2.1643518518518518E-3</v>
      </c>
      <c r="I1740">
        <v>2016</v>
      </c>
      <c r="J1740" t="s">
        <v>7</v>
      </c>
      <c r="K1740" s="2" t="str">
        <f>HYPERLINK("https://www.nba.com/stats/events?CFID=&amp;CFPARAMS=&amp;GameEventID=78&amp;GameID=0021600801&amp;Season=2016-17&amp;flag=1&amp;title=Dedmon%20%20Layup%20(8%20PTS)%20(Leonard%203%20AST)", "Dedmon  Layup (8 PTS) (Leonard 3 AST)")</f>
        <v>Dedmon  Layup (8 PTS) (Leonard 3 AST)</v>
      </c>
      <c r="L1740" s="2" t="str">
        <f>HYPERLINK("https://www.nba.com/game/...-vs-...-0021600801/play-by-play?watchFullGame=true", "SAS vs DET - Q1 03:07.00")</f>
        <v>SAS vs DET - Q1 03:07.00</v>
      </c>
      <c r="M1740">
        <v>0</v>
      </c>
      <c r="N1740">
        <v>1</v>
      </c>
      <c r="O1740">
        <v>2</v>
      </c>
      <c r="P1740">
        <v>1</v>
      </c>
      <c r="Q1740">
        <v>2</v>
      </c>
      <c r="R1740" t="s">
        <v>0</v>
      </c>
      <c r="S1740" t="s">
        <v>0</v>
      </c>
      <c r="T1740" t="s">
        <v>0</v>
      </c>
    </row>
    <row r="1741" spans="1:20" x14ac:dyDescent="0.25">
      <c r="A1741">
        <v>21600865</v>
      </c>
      <c r="B1741" t="s">
        <v>4</v>
      </c>
      <c r="C1741" t="s">
        <v>9</v>
      </c>
      <c r="D1741">
        <v>4</v>
      </c>
      <c r="E1741">
        <v>2</v>
      </c>
      <c r="F1741">
        <v>2</v>
      </c>
      <c r="G1741">
        <v>1</v>
      </c>
      <c r="H1741" s="1">
        <v>6.7592592592592591E-3</v>
      </c>
      <c r="I1741">
        <v>2016</v>
      </c>
      <c r="J1741" t="s">
        <v>7</v>
      </c>
      <c r="K1741" s="2" t="str">
        <f>HYPERLINK("https://www.nba.com/stats/events?CFID=&amp;CFPARAMS=&amp;GameEventID=15&amp;GameID=0021600865&amp;Season=2016-17&amp;flag=1&amp;title=Parker%2020'%20Jump%20Shot%20(2%20PTS)%20(Leonard%201%20AST)", "Parker 20' Jump Shot (2 PTS) (Leonard 1 AST)")</f>
        <v>Parker 20' Jump Shot (2 PTS) (Leonard 1 AST)</v>
      </c>
      <c r="L1741" s="2" t="str">
        <f>HYPERLINK("https://www.nba.com/game/...-vs-...-0021600865/play-by-play?watchFullGame=true", "SAS vs LAC - Q1 09:44.00")</f>
        <v>SAS vs LAC - Q1 09:44.00</v>
      </c>
      <c r="M1741">
        <v>20</v>
      </c>
      <c r="N1741">
        <v>-197</v>
      </c>
      <c r="O1741">
        <v>18</v>
      </c>
      <c r="P1741">
        <v>-197</v>
      </c>
      <c r="Q1741">
        <v>18</v>
      </c>
      <c r="R1741" t="s">
        <v>0</v>
      </c>
      <c r="S1741" t="s">
        <v>0</v>
      </c>
      <c r="T1741" t="s">
        <v>0</v>
      </c>
    </row>
    <row r="1742" spans="1:20" x14ac:dyDescent="0.25">
      <c r="A1742">
        <v>21600917</v>
      </c>
      <c r="B1742" t="s">
        <v>4</v>
      </c>
      <c r="C1742" t="s">
        <v>36</v>
      </c>
      <c r="D1742">
        <v>38</v>
      </c>
      <c r="E1742">
        <v>40</v>
      </c>
      <c r="F1742">
        <v>2</v>
      </c>
      <c r="G1742">
        <v>2</v>
      </c>
      <c r="H1742" s="1">
        <v>3.3680555555555556E-3</v>
      </c>
      <c r="I1742">
        <v>2016</v>
      </c>
      <c r="J1742" t="s">
        <v>7</v>
      </c>
      <c r="K1742" s="2" t="str">
        <f>HYPERLINK("https://www.nba.com/stats/events?CFID=&amp;CFPARAMS=&amp;GameEventID=200&amp;GameID=0021600917&amp;Season=2016-17&amp;flag=1&amp;title=Aldridge%203'%20Running%20Layup%20(4%20PTS)%20(Leonard%201%20AST)", "Aldridge 3' Running Layup (4 PTS) (Leonard 1 AST)")</f>
        <v>Aldridge 3' Running Layup (4 PTS) (Leonard 1 AST)</v>
      </c>
      <c r="L1742" s="2" t="str">
        <f>HYPERLINK("https://www.nba.com/game/...-vs-...-0021600917/play-by-play?watchFullGame=true", "SAS vs NOP - Q2 04:51.00")</f>
        <v>SAS vs NOP - Q2 04:51.00</v>
      </c>
      <c r="M1742">
        <v>3</v>
      </c>
      <c r="N1742">
        <v>-27</v>
      </c>
      <c r="O1742">
        <v>21</v>
      </c>
      <c r="P1742">
        <v>-27</v>
      </c>
      <c r="Q1742">
        <v>21</v>
      </c>
      <c r="R1742" t="s">
        <v>0</v>
      </c>
      <c r="S1742" t="s">
        <v>0</v>
      </c>
      <c r="T1742" t="s">
        <v>0</v>
      </c>
    </row>
    <row r="1743" spans="1:20" x14ac:dyDescent="0.25">
      <c r="A1743">
        <v>21600917</v>
      </c>
      <c r="B1743" t="s">
        <v>10</v>
      </c>
      <c r="C1743" t="s">
        <v>9</v>
      </c>
      <c r="D1743">
        <v>100</v>
      </c>
      <c r="E1743">
        <v>96</v>
      </c>
      <c r="F1743">
        <v>4</v>
      </c>
      <c r="G1743">
        <v>5</v>
      </c>
      <c r="H1743" s="1">
        <v>8.564814814814815E-4</v>
      </c>
      <c r="I1743">
        <v>2016</v>
      </c>
      <c r="J1743" t="s">
        <v>7</v>
      </c>
      <c r="K1743" s="2" t="str">
        <f>HYPERLINK("https://www.nba.com/stats/events?CFID=&amp;CFPARAMS=&amp;GameEventID=618&amp;GameID=0021600917&amp;Season=2016-17&amp;flag=1&amp;title=Mills%2025'%203PT%20Jump%20Shot%20(15%20PTS)%20(Leonard%206%20AST)", "Mills 25' 3PT Jump Shot (15 PTS) (Leonard 6 AST)")</f>
        <v>Mills 25' 3PT Jump Shot (15 PTS) (Leonard 6 AST)</v>
      </c>
      <c r="L1743" s="2" t="str">
        <f>HYPERLINK("https://www.nba.com/game/...-vs-...-0021600917/play-by-play?watchFullGame=true", "SAS vs NOP - Q5 01:14.00")</f>
        <v>SAS vs NOP - Q5 01:14.00</v>
      </c>
      <c r="M1743">
        <v>25</v>
      </c>
      <c r="N1743">
        <v>246</v>
      </c>
      <c r="O1743">
        <v>3</v>
      </c>
      <c r="P1743">
        <v>246</v>
      </c>
      <c r="Q1743">
        <v>3</v>
      </c>
      <c r="R1743" t="s">
        <v>0</v>
      </c>
      <c r="S1743" t="s">
        <v>0</v>
      </c>
      <c r="T1743" t="s">
        <v>0</v>
      </c>
    </row>
    <row r="1744" spans="1:20" x14ac:dyDescent="0.25">
      <c r="A1744">
        <v>21600942</v>
      </c>
      <c r="B1744" t="s">
        <v>4</v>
      </c>
      <c r="C1744" t="s">
        <v>6</v>
      </c>
      <c r="D1744">
        <v>73</v>
      </c>
      <c r="E1744">
        <v>71</v>
      </c>
      <c r="F1744">
        <v>2</v>
      </c>
      <c r="G1744">
        <v>3</v>
      </c>
      <c r="H1744" s="1">
        <v>2.4305555555555556E-3</v>
      </c>
      <c r="I1744">
        <v>2016</v>
      </c>
      <c r="J1744" t="s">
        <v>7</v>
      </c>
      <c r="K1744" s="2" t="str">
        <f>HYPERLINK("https://www.nba.com/stats/events?CFID=&amp;CFPARAMS=&amp;GameEventID=281&amp;GameID=0021600942&amp;Season=2016-17&amp;flag=1&amp;title=Lee%20%20Cutting%20Dunk%20Shot%20(4%20PTS)%20(Leonard%205%20AST)", "Lee  Cutting Dunk Shot (4 PTS) (Leonard 5 AST)")</f>
        <v>Lee  Cutting Dunk Shot (4 PTS) (Leonard 5 AST)</v>
      </c>
      <c r="L1744" s="2" t="str">
        <f>HYPERLINK("https://www.nba.com/game/...-vs-...-0021600942/play-by-play?watchFullGame=true", "SAS vs HOU - Q3 03:30.00")</f>
        <v>SAS vs HOU - Q3 03:30.00</v>
      </c>
      <c r="M1744">
        <v>0</v>
      </c>
      <c r="N1744">
        <v>0</v>
      </c>
      <c r="O1744">
        <v>1</v>
      </c>
      <c r="P1744">
        <v>0</v>
      </c>
      <c r="Q1744">
        <v>1</v>
      </c>
      <c r="R1744" t="s">
        <v>0</v>
      </c>
      <c r="S1744" t="s">
        <v>0</v>
      </c>
      <c r="T1744" t="s">
        <v>0</v>
      </c>
    </row>
    <row r="1745" spans="1:20" x14ac:dyDescent="0.25">
      <c r="A1745">
        <v>21500242</v>
      </c>
      <c r="B1745" t="s">
        <v>4</v>
      </c>
      <c r="C1745" t="s">
        <v>23</v>
      </c>
      <c r="D1745">
        <v>82</v>
      </c>
      <c r="E1745">
        <v>59</v>
      </c>
      <c r="F1745">
        <v>23</v>
      </c>
      <c r="G1745">
        <v>4</v>
      </c>
      <c r="H1745" s="1">
        <v>8.1944444444444452E-3</v>
      </c>
      <c r="I1745">
        <v>2015</v>
      </c>
      <c r="J1745" t="s">
        <v>7</v>
      </c>
      <c r="K1745" s="2" t="str">
        <f>HYPERLINK("https://www.nba.com/stats/events?CFID=&amp;CFPARAMS=&amp;GameEventID=387&amp;GameID=0021500242&amp;Season=2015-16&amp;flag=1&amp;title=Ginobili%202'%20Driving%20Layup%20(10%20PTS)%20(Leonard%202%20AST)", "Ginobili 2' Driving Layup (10 PTS) (Leonard 2 AST)")</f>
        <v>Ginobili 2' Driving Layup (10 PTS) (Leonard 2 AST)</v>
      </c>
      <c r="L1745" s="2" t="str">
        <f>HYPERLINK("https://www.nba.com/game/...-vs-...-0021500242/play-by-play?watchFullGame=true", "SAS vs ATL - Q4 11:48.00")</f>
        <v>SAS vs ATL - Q4 11:48.00</v>
      </c>
      <c r="M1745">
        <v>2</v>
      </c>
      <c r="N1745">
        <v>-23</v>
      </c>
      <c r="O1745">
        <v>4</v>
      </c>
      <c r="P1745">
        <v>-23</v>
      </c>
      <c r="Q1745">
        <v>4</v>
      </c>
      <c r="R1745" t="s">
        <v>0</v>
      </c>
      <c r="S1745" t="s">
        <v>0</v>
      </c>
      <c r="T1745" t="s">
        <v>0</v>
      </c>
    </row>
    <row r="1746" spans="1:20" x14ac:dyDescent="0.25">
      <c r="A1746">
        <v>21500347</v>
      </c>
      <c r="B1746" t="s">
        <v>4</v>
      </c>
      <c r="C1746" t="s">
        <v>19</v>
      </c>
      <c r="D1746">
        <v>65</v>
      </c>
      <c r="E1746">
        <v>41</v>
      </c>
      <c r="F1746">
        <v>24</v>
      </c>
      <c r="G1746">
        <v>3</v>
      </c>
      <c r="H1746" s="1">
        <v>3.7499999999999999E-3</v>
      </c>
      <c r="I1746">
        <v>2015</v>
      </c>
      <c r="J1746" t="s">
        <v>7</v>
      </c>
      <c r="K1746" s="2" t="str">
        <f>HYPERLINK("https://www.nba.com/stats/events?CFID=&amp;CFPARAMS=&amp;GameEventID=321&amp;GameID=0021500347&amp;Season=2015-16&amp;flag=1&amp;title=Green%2022'%20Pullup%20Jump%20Shot%20(10%20PTS)%20(Leonard%203%20AST)", "Green 22' Pullup Jump Shot (10 PTS) (Leonard 3 AST)")</f>
        <v>Green 22' Pullup Jump Shot (10 PTS) (Leonard 3 AST)</v>
      </c>
      <c r="L1746" s="2" t="str">
        <f>HYPERLINK("https://www.nba.com/game/...-vs-...-0021500347/play-by-play?watchFullGame=true", "SAS vs ATL - Q3 05:24.00")</f>
        <v>SAS vs ATL - Q3 05:24.00</v>
      </c>
      <c r="M1746">
        <v>22</v>
      </c>
      <c r="N1746">
        <v>186</v>
      </c>
      <c r="O1746">
        <v>111</v>
      </c>
      <c r="P1746">
        <v>186</v>
      </c>
      <c r="Q1746">
        <v>111</v>
      </c>
      <c r="R1746" t="s">
        <v>0</v>
      </c>
      <c r="S1746" t="s">
        <v>0</v>
      </c>
      <c r="T1746" t="s">
        <v>0</v>
      </c>
    </row>
    <row r="1747" spans="1:20" x14ac:dyDescent="0.25">
      <c r="A1747">
        <v>21500393</v>
      </c>
      <c r="B1747" t="s">
        <v>4</v>
      </c>
      <c r="C1747" t="s">
        <v>5</v>
      </c>
      <c r="D1747">
        <v>19</v>
      </c>
      <c r="E1747">
        <v>18</v>
      </c>
      <c r="F1747">
        <v>1</v>
      </c>
      <c r="G1747">
        <v>1</v>
      </c>
      <c r="H1747" s="1">
        <v>2.9976851851851853E-3</v>
      </c>
      <c r="I1747">
        <v>2015</v>
      </c>
      <c r="J1747" t="s">
        <v>7</v>
      </c>
      <c r="K1747" s="2" t="str">
        <f>HYPERLINK("https://www.nba.com/stats/events?CFID=&amp;CFPARAMS=&amp;GameEventID=52&amp;GameID=0021500393&amp;Season=2015-16&amp;flag=1&amp;title=Duncan%202'%20Layup%20(4%20PTS)%20(Leonard%202%20AST)", "Duncan 2' Layup (4 PTS) (Leonard 2 AST)")</f>
        <v>Duncan 2' Layup (4 PTS) (Leonard 2 AST)</v>
      </c>
      <c r="L1747" s="2" t="str">
        <f>HYPERLINK("https://www.nba.com/game/...-vs-...-0021500393/play-by-play?watchFullGame=true", "SAS vs LAC - Q1 04:19.00")</f>
        <v>SAS vs LAC - Q1 04:19.00</v>
      </c>
      <c r="M1747">
        <v>2</v>
      </c>
      <c r="N1747">
        <v>-17</v>
      </c>
      <c r="O1747">
        <v>0</v>
      </c>
      <c r="P1747">
        <v>-17</v>
      </c>
      <c r="Q1747">
        <v>0</v>
      </c>
      <c r="R1747" t="s">
        <v>0</v>
      </c>
      <c r="S1747" t="s">
        <v>0</v>
      </c>
      <c r="T1747" t="s">
        <v>0</v>
      </c>
    </row>
    <row r="1748" spans="1:20" x14ac:dyDescent="0.25">
      <c r="A1748">
        <v>21500453</v>
      </c>
      <c r="B1748" t="s">
        <v>4</v>
      </c>
      <c r="C1748" t="s">
        <v>6</v>
      </c>
      <c r="D1748">
        <v>49</v>
      </c>
      <c r="E1748">
        <v>24</v>
      </c>
      <c r="F1748">
        <v>25</v>
      </c>
      <c r="G1748">
        <v>2</v>
      </c>
      <c r="H1748" s="1">
        <v>3.5300925925925925E-3</v>
      </c>
      <c r="I1748">
        <v>2015</v>
      </c>
      <c r="J1748" t="s">
        <v>12</v>
      </c>
      <c r="K1748" s="2" t="str">
        <f>HYPERLINK("https://www.nba.com/stats/events?CFID=&amp;CFPARAMS=&amp;GameEventID=182&amp;GameID=0021500453&amp;Season=2015-16&amp;flag=1&amp;title=Davis%20%20Cutting%20Dunk%20Shot%20(4%20PTS)%20(Leonard%202%20AST)", "Davis  Cutting Dunk Shot (4 PTS) (Leonard 2 AST)")</f>
        <v>Davis  Cutting Dunk Shot (4 PTS) (Leonard 2 AST)</v>
      </c>
      <c r="L1748" s="2" t="str">
        <f>HYPERLINK("https://www.nba.com/game/...-vs-...-0021500453/play-by-play?watchFullGame=true", "POR vs CLE - Q2 05:05.00")</f>
        <v>POR vs CLE - Q2 05:05.00</v>
      </c>
      <c r="M1748">
        <v>0</v>
      </c>
      <c r="N1748">
        <v>0</v>
      </c>
      <c r="O1748">
        <v>1</v>
      </c>
      <c r="P1748">
        <v>0</v>
      </c>
      <c r="Q1748">
        <v>1</v>
      </c>
      <c r="R1748" t="s">
        <v>0</v>
      </c>
      <c r="S1748" t="s">
        <v>0</v>
      </c>
      <c r="T1748" t="s">
        <v>0</v>
      </c>
    </row>
    <row r="1749" spans="1:20" x14ac:dyDescent="0.25">
      <c r="A1749">
        <v>21500612</v>
      </c>
      <c r="B1749" t="s">
        <v>4</v>
      </c>
      <c r="C1749" t="s">
        <v>9</v>
      </c>
      <c r="D1749">
        <v>5</v>
      </c>
      <c r="E1749">
        <v>2</v>
      </c>
      <c r="F1749">
        <v>3</v>
      </c>
      <c r="G1749">
        <v>1</v>
      </c>
      <c r="H1749" s="1">
        <v>6.6319444444444446E-3</v>
      </c>
      <c r="I1749">
        <v>2015</v>
      </c>
      <c r="J1749" t="s">
        <v>7</v>
      </c>
      <c r="K1749" s="2" t="str">
        <f>HYPERLINK("https://www.nba.com/stats/events?CFID=&amp;CFPARAMS=&amp;GameEventID=19&amp;GameID=0021500612&amp;Season=2015-16&amp;flag=1&amp;title=Aldridge%2014'%20Jump%20Shot%20(4%20PTS)%20(Leonard%201%20AST)", "Aldridge 14' Jump Shot (4 PTS) (Leonard 1 AST)")</f>
        <v>Aldridge 14' Jump Shot (4 PTS) (Leonard 1 AST)</v>
      </c>
      <c r="L1749" s="2" t="str">
        <f>HYPERLINK("https://www.nba.com/game/...-vs-...-0021500612/play-by-play?watchFullGame=true", "SAS vs DAL - Q1 09:33.00")</f>
        <v>SAS vs DAL - Q1 09:33.00</v>
      </c>
      <c r="M1749">
        <v>14</v>
      </c>
      <c r="N1749">
        <v>141</v>
      </c>
      <c r="O1749">
        <v>11</v>
      </c>
      <c r="P1749">
        <v>141</v>
      </c>
      <c r="Q1749">
        <v>11</v>
      </c>
      <c r="R1749" t="s">
        <v>0</v>
      </c>
      <c r="S1749" t="s">
        <v>0</v>
      </c>
      <c r="T1749" t="s">
        <v>0</v>
      </c>
    </row>
    <row r="1750" spans="1:20" x14ac:dyDescent="0.25">
      <c r="A1750">
        <v>21500675</v>
      </c>
      <c r="B1750" t="s">
        <v>4</v>
      </c>
      <c r="C1750" t="s">
        <v>17</v>
      </c>
      <c r="D1750">
        <v>35</v>
      </c>
      <c r="E1750">
        <v>45</v>
      </c>
      <c r="F1750">
        <v>10</v>
      </c>
      <c r="G1750">
        <v>2</v>
      </c>
      <c r="H1750" s="1">
        <v>4.2939814814814811E-3</v>
      </c>
      <c r="I1750">
        <v>2015</v>
      </c>
      <c r="J1750" t="s">
        <v>7</v>
      </c>
      <c r="K1750" s="2" t="str">
        <f>HYPERLINK("https://www.nba.com/stats/events?CFID=&amp;CFPARAMS=&amp;GameEventID=176&amp;GameID=0021500675&amp;Season=2015-16&amp;flag=1&amp;title=Anderson%2014'%20Floating%20Jump%20Shot%20(2%20PTS)%20(Leonard%201%20AST)", "Anderson 14' Floating Jump Shot (2 PTS) (Leonard 1 AST)")</f>
        <v>Anderson 14' Floating Jump Shot (2 PTS) (Leonard 1 AST)</v>
      </c>
      <c r="L1750" s="2" t="str">
        <f>HYPERLINK("https://www.nba.com/game/...-vs-...-0021500675/play-by-play?watchFullGame=true", "SAS vs GSW - Q2 06:11.00")</f>
        <v>SAS vs GSW - Q2 06:11.00</v>
      </c>
      <c r="M1750">
        <v>14</v>
      </c>
      <c r="N1750">
        <v>102</v>
      </c>
      <c r="O1750">
        <v>97</v>
      </c>
      <c r="P1750">
        <v>102</v>
      </c>
      <c r="Q1750">
        <v>97</v>
      </c>
      <c r="R1750" t="s">
        <v>0</v>
      </c>
      <c r="S1750" t="s">
        <v>0</v>
      </c>
      <c r="T1750" t="s">
        <v>0</v>
      </c>
    </row>
    <row r="1751" spans="1:20" x14ac:dyDescent="0.25">
      <c r="A1751">
        <v>21500860</v>
      </c>
      <c r="B1751" t="s">
        <v>10</v>
      </c>
      <c r="C1751" t="s">
        <v>9</v>
      </c>
      <c r="D1751">
        <v>86</v>
      </c>
      <c r="E1751">
        <v>70</v>
      </c>
      <c r="F1751">
        <v>16</v>
      </c>
      <c r="G1751">
        <v>4</v>
      </c>
      <c r="H1751" s="1">
        <v>3.1481481481481482E-3</v>
      </c>
      <c r="I1751">
        <v>2015</v>
      </c>
      <c r="J1751" t="s">
        <v>7</v>
      </c>
      <c r="K1751" s="2" t="str">
        <f>HYPERLINK("https://www.nba.com/stats/events?CFID=&amp;CFPARAMS=&amp;GameEventID=391&amp;GameID=0021500860&amp;Season=2015-16&amp;flag=1&amp;title=Parker%2025'%203PT%20Jump%20Shot%20(16%20PTS)%20(Leonard%203%20AST)", "Parker 25' 3PT Jump Shot (16 PTS) (Leonard 3 AST)")</f>
        <v>Parker 25' 3PT Jump Shot (16 PTS) (Leonard 3 AST)</v>
      </c>
      <c r="L1751" s="2" t="str">
        <f>HYPERLINK("https://www.nba.com/game/...-vs-...-0021500860/play-by-play?watchFullGame=true", "SAS vs UTA - Q4 04:32.00")</f>
        <v>SAS vs UTA - Q4 04:32.00</v>
      </c>
      <c r="M1751">
        <v>25</v>
      </c>
      <c r="N1751">
        <v>-127</v>
      </c>
      <c r="O1751">
        <v>214</v>
      </c>
      <c r="P1751">
        <v>-127</v>
      </c>
      <c r="Q1751">
        <v>214</v>
      </c>
      <c r="R1751" t="s">
        <v>0</v>
      </c>
      <c r="S1751" t="s">
        <v>0</v>
      </c>
      <c r="T1751" t="s">
        <v>0</v>
      </c>
    </row>
    <row r="1752" spans="1:20" x14ac:dyDescent="0.25">
      <c r="A1752">
        <v>21500928</v>
      </c>
      <c r="B1752" t="s">
        <v>10</v>
      </c>
      <c r="C1752" t="s">
        <v>22</v>
      </c>
      <c r="D1752">
        <v>94</v>
      </c>
      <c r="E1752">
        <v>78</v>
      </c>
      <c r="F1752">
        <v>16</v>
      </c>
      <c r="G1752">
        <v>4</v>
      </c>
      <c r="H1752" s="1">
        <v>4.4791666666666669E-3</v>
      </c>
      <c r="I1752">
        <v>2015</v>
      </c>
      <c r="J1752" t="s">
        <v>7</v>
      </c>
      <c r="K1752" s="2" t="str">
        <f>HYPERLINK("https://www.nba.com/stats/events?CFID=&amp;CFPARAMS=&amp;GameEventID=463&amp;GameID=0021500928&amp;Season=2015-16&amp;flag=1&amp;title=Mills%2026'%203PT%20Jump%20Bank%20Shot%20(9%20PTS)%20(Leonard%206%20AST)", "Mills 26' 3PT Jump Bank Shot (9 PTS) (Leonard 6 AST)")</f>
        <v>Mills 26' 3PT Jump Bank Shot (9 PTS) (Leonard 6 AST)</v>
      </c>
      <c r="L1752" s="2" t="str">
        <f>HYPERLINK("https://www.nba.com/game/...-vs-...-0021500928/play-by-play?watchFullGame=true", "SAS vs SAC - Q4 06:27.00")</f>
        <v>SAS vs SAC - Q4 06:27.00</v>
      </c>
      <c r="M1752">
        <v>26</v>
      </c>
      <c r="N1752">
        <v>222</v>
      </c>
      <c r="O1752">
        <v>134</v>
      </c>
      <c r="P1752">
        <v>222</v>
      </c>
      <c r="Q1752">
        <v>134</v>
      </c>
      <c r="R1752" t="s">
        <v>0</v>
      </c>
      <c r="S1752" t="s">
        <v>0</v>
      </c>
      <c r="T1752" t="s">
        <v>0</v>
      </c>
    </row>
    <row r="1753" spans="1:20" x14ac:dyDescent="0.25">
      <c r="A1753">
        <v>21501201</v>
      </c>
      <c r="B1753" t="s">
        <v>10</v>
      </c>
      <c r="C1753" t="s">
        <v>9</v>
      </c>
      <c r="D1753">
        <v>25</v>
      </c>
      <c r="E1753">
        <v>16</v>
      </c>
      <c r="F1753">
        <v>9</v>
      </c>
      <c r="G1753">
        <v>2</v>
      </c>
      <c r="H1753" s="1">
        <v>7.5347222222222222E-3</v>
      </c>
      <c r="I1753">
        <v>2015</v>
      </c>
      <c r="J1753" t="s">
        <v>7</v>
      </c>
      <c r="K1753" s="2" t="str">
        <f>HYPERLINK("https://www.nba.com/stats/events?CFID=&amp;CFPARAMS=&amp;GameEventID=141&amp;GameID=0021501201&amp;Season=2015-16&amp;flag=1&amp;title=Mills%2025'%203PT%20Jump%20Shot%20(5%20PTS)%20(Leonard%202%20AST)", "Mills 25' 3PT Jump Shot (5 PTS) (Leonard 2 AST)")</f>
        <v>Mills 25' 3PT Jump Shot (5 PTS) (Leonard 2 AST)</v>
      </c>
      <c r="L1753" s="2" t="str">
        <f>HYPERLINK("https://www.nba.com/game/...-vs-...-0021501201/play-by-play?watchFullGame=true", "SAS vs GSW - Q2 10:51.00")</f>
        <v>SAS vs GSW - Q2 10:51.00</v>
      </c>
      <c r="M1753">
        <v>25</v>
      </c>
      <c r="N1753">
        <v>-186</v>
      </c>
      <c r="O1753">
        <v>169</v>
      </c>
      <c r="P1753">
        <v>-186</v>
      </c>
      <c r="Q1753">
        <v>169</v>
      </c>
      <c r="R1753" t="s">
        <v>0</v>
      </c>
      <c r="S1753" t="s">
        <v>0</v>
      </c>
      <c r="T1753" t="s">
        <v>0</v>
      </c>
    </row>
    <row r="1754" spans="1:20" x14ac:dyDescent="0.25">
      <c r="A1754">
        <v>21600032</v>
      </c>
      <c r="B1754" t="s">
        <v>10</v>
      </c>
      <c r="C1754" t="s">
        <v>9</v>
      </c>
      <c r="D1754">
        <v>69</v>
      </c>
      <c r="E1754">
        <v>56</v>
      </c>
      <c r="F1754">
        <v>13</v>
      </c>
      <c r="G1754">
        <v>3</v>
      </c>
      <c r="H1754" s="1">
        <v>4.4212962962962964E-3</v>
      </c>
      <c r="I1754">
        <v>2016</v>
      </c>
      <c r="J1754" t="s">
        <v>7</v>
      </c>
      <c r="K1754" s="2" t="str">
        <f>HYPERLINK("https://www.nba.com/stats/events?CFID=&amp;CFPARAMS=&amp;GameEventID=315&amp;GameID=0021600032&amp;Season=2016-17&amp;flag=1&amp;title=Mills%2025'%203PT%20Jump%20Shot%20(18%20PTS)%20(Leonard%203%20AST)", "Mills 25' 3PT Jump Shot (18 PTS) (Leonard 3 AST)")</f>
        <v>Mills 25' 3PT Jump Shot (18 PTS) (Leonard 3 AST)</v>
      </c>
      <c r="L1754" s="2" t="str">
        <f>HYPERLINK("https://www.nba.com/game/...-vs-...-0021600032/play-by-play?watchFullGame=true", "SAS vs NOP - Q3 06:22.00")</f>
        <v>SAS vs NOP - Q3 06:22.00</v>
      </c>
      <c r="M1754">
        <v>25</v>
      </c>
      <c r="N1754">
        <v>-140</v>
      </c>
      <c r="O1754">
        <v>203</v>
      </c>
      <c r="P1754">
        <v>-140</v>
      </c>
      <c r="Q1754">
        <v>203</v>
      </c>
      <c r="R1754" t="s">
        <v>0</v>
      </c>
      <c r="S1754" t="s">
        <v>0</v>
      </c>
      <c r="T1754" t="s">
        <v>0</v>
      </c>
    </row>
    <row r="1755" spans="1:20" x14ac:dyDescent="0.25">
      <c r="A1755">
        <v>21600150</v>
      </c>
      <c r="B1755" t="s">
        <v>4</v>
      </c>
      <c r="C1755" t="s">
        <v>29</v>
      </c>
      <c r="D1755">
        <v>55</v>
      </c>
      <c r="E1755">
        <v>38</v>
      </c>
      <c r="F1755">
        <v>17</v>
      </c>
      <c r="G1755">
        <v>2</v>
      </c>
      <c r="H1755" s="1">
        <v>8.4490740740740739E-4</v>
      </c>
      <c r="I1755">
        <v>2016</v>
      </c>
      <c r="J1755" t="s">
        <v>7</v>
      </c>
      <c r="K1755" s="2" t="str">
        <f>HYPERLINK("https://www.nba.com/stats/events?CFID=&amp;CFPARAMS=&amp;GameEventID=231&amp;GameID=0021600150&amp;Season=2016-17&amp;flag=1&amp;title=Aldridge%209'%20Driving%20Floating%20Jump%20Shot%20(18%20PTS)%20(Leonard%203%20AST)", "Aldridge 9' Driving Floating Jump Shot (18 PTS) (Leonard 3 AST)")</f>
        <v>Aldridge 9' Driving Floating Jump Shot (18 PTS) (Leonard 3 AST)</v>
      </c>
      <c r="L1755" s="2" t="str">
        <f>HYPERLINK("https://www.nba.com/game/...-vs-...-0021600150/play-by-play?watchFullGame=true", "SAS vs MIA - Q2 01:13.00")</f>
        <v>SAS vs MIA - Q2 01:13.00</v>
      </c>
      <c r="M1755">
        <v>9</v>
      </c>
      <c r="N1755">
        <v>-84</v>
      </c>
      <c r="O1755">
        <v>36</v>
      </c>
      <c r="P1755">
        <v>-84</v>
      </c>
      <c r="Q1755">
        <v>36</v>
      </c>
      <c r="R1755" t="s">
        <v>0</v>
      </c>
      <c r="S1755" t="s">
        <v>0</v>
      </c>
      <c r="T1755" t="s">
        <v>0</v>
      </c>
    </row>
    <row r="1756" spans="1:20" x14ac:dyDescent="0.25">
      <c r="A1756">
        <v>21600336</v>
      </c>
      <c r="B1756" t="s">
        <v>4</v>
      </c>
      <c r="C1756" t="s">
        <v>5</v>
      </c>
      <c r="D1756">
        <v>28</v>
      </c>
      <c r="E1756">
        <v>36</v>
      </c>
      <c r="F1756">
        <v>8</v>
      </c>
      <c r="G1756">
        <v>2</v>
      </c>
      <c r="H1756" s="1">
        <v>2.4652777777777776E-3</v>
      </c>
      <c r="I1756">
        <v>2016</v>
      </c>
      <c r="J1756" t="s">
        <v>7</v>
      </c>
      <c r="K1756" s="2" t="str">
        <f>HYPERLINK("https://www.nba.com/stats/events?CFID=&amp;CFPARAMS=&amp;GameEventID=218&amp;GameID=0021600336&amp;Season=2016-17&amp;flag=1&amp;title=Gasol%202'%20Layup%20(4%20PTS)%20(Leonard%202%20AST)", "Gasol 2' Layup (4 PTS) (Leonard 2 AST)")</f>
        <v>Gasol 2' Layup (4 PTS) (Leonard 2 AST)</v>
      </c>
      <c r="L1756" s="2" t="str">
        <f>HYPERLINK("https://www.nba.com/game/...-vs-...-0021600336/play-by-play?watchFullGame=true", "SAS vs CHI - Q2 03:33.00")</f>
        <v>SAS vs CHI - Q2 03:33.00</v>
      </c>
      <c r="M1756">
        <v>2</v>
      </c>
      <c r="N1756">
        <v>-20</v>
      </c>
      <c r="O1756">
        <v>8</v>
      </c>
      <c r="P1756">
        <v>-20</v>
      </c>
      <c r="Q1756">
        <v>8</v>
      </c>
      <c r="R1756" t="s">
        <v>0</v>
      </c>
      <c r="S1756" t="s">
        <v>0</v>
      </c>
      <c r="T1756" t="s">
        <v>0</v>
      </c>
    </row>
    <row r="1757" spans="1:20" x14ac:dyDescent="0.25">
      <c r="A1757">
        <v>21600353</v>
      </c>
      <c r="B1757" t="s">
        <v>10</v>
      </c>
      <c r="C1757" t="s">
        <v>9</v>
      </c>
      <c r="D1757">
        <v>35</v>
      </c>
      <c r="E1757">
        <v>26</v>
      </c>
      <c r="F1757">
        <v>9</v>
      </c>
      <c r="G1757">
        <v>1</v>
      </c>
      <c r="H1757" s="1">
        <v>6.7129629629629625E-4</v>
      </c>
      <c r="I1757">
        <v>2016</v>
      </c>
      <c r="J1757" t="s">
        <v>7</v>
      </c>
      <c r="K1757" s="2" t="str">
        <f>HYPERLINK("https://www.nba.com/stats/events?CFID=&amp;CFPARAMS=&amp;GameEventID=90&amp;GameID=0021600353&amp;Season=2016-17&amp;flag=1&amp;title=Ginobili%2026'%203PT%20Jump%20Shot%20(3%20PTS)%20(Leonard%203%20AST)", "Ginobili 26' 3PT Jump Shot (3 PTS) (Leonard 3 AST)")</f>
        <v>Ginobili 26' 3PT Jump Shot (3 PTS) (Leonard 3 AST)</v>
      </c>
      <c r="L1757" s="2" t="str">
        <f>HYPERLINK("https://www.nba.com/game/...-vs-...-0021600353/play-by-play?watchFullGame=true", "SAS vs BKN - Q1 00:58.00")</f>
        <v>SAS vs BKN - Q1 00:58.00</v>
      </c>
      <c r="M1757">
        <v>26</v>
      </c>
      <c r="N1757">
        <v>207</v>
      </c>
      <c r="O1757">
        <v>149</v>
      </c>
      <c r="P1757">
        <v>207</v>
      </c>
      <c r="Q1757">
        <v>149</v>
      </c>
      <c r="R1757" t="s">
        <v>0</v>
      </c>
      <c r="S1757" t="s">
        <v>0</v>
      </c>
      <c r="T1757" t="s">
        <v>0</v>
      </c>
    </row>
    <row r="1758" spans="1:20" x14ac:dyDescent="0.25">
      <c r="A1758">
        <v>21600428</v>
      </c>
      <c r="B1758" t="s">
        <v>4</v>
      </c>
      <c r="C1758" t="s">
        <v>31</v>
      </c>
      <c r="D1758">
        <v>26</v>
      </c>
      <c r="E1758">
        <v>17</v>
      </c>
      <c r="F1758">
        <v>9</v>
      </c>
      <c r="G1758">
        <v>1</v>
      </c>
      <c r="H1758" s="1">
        <v>2.7199074074074074E-3</v>
      </c>
      <c r="I1758">
        <v>2016</v>
      </c>
      <c r="J1758" t="s">
        <v>12</v>
      </c>
      <c r="K1758" s="2" t="str">
        <f>HYPERLINK("https://www.nba.com/stats/events?CFID=&amp;CFPARAMS=&amp;GameEventID=67&amp;GameID=0021600428&amp;Season=2016-17&amp;flag=1&amp;title=Lillard%204'%20Driving%20Reverse%20Layup%20(4%20PTS)%20(Leonard%201%20AST)", "Lillard 4' Driving Reverse Layup (4 PTS) (Leonard 1 AST)")</f>
        <v>Lillard 4' Driving Reverse Layup (4 PTS) (Leonard 1 AST)</v>
      </c>
      <c r="L1758" s="2" t="str">
        <f>HYPERLINK("https://www.nba.com/game/...-vs-...-0021600428/play-by-play?watchFullGame=true", "POR vs SAC - Q1 03:55.00")</f>
        <v>POR vs SAC - Q1 03:55.00</v>
      </c>
      <c r="M1758">
        <v>4</v>
      </c>
      <c r="N1758">
        <v>35</v>
      </c>
      <c r="O1758">
        <v>0</v>
      </c>
      <c r="P1758">
        <v>35</v>
      </c>
      <c r="Q1758">
        <v>0</v>
      </c>
      <c r="R1758" t="s">
        <v>0</v>
      </c>
      <c r="S1758" t="s">
        <v>0</v>
      </c>
      <c r="T1758" t="s">
        <v>0</v>
      </c>
    </row>
    <row r="1759" spans="1:20" x14ac:dyDescent="0.25">
      <c r="A1759">
        <v>21600717</v>
      </c>
      <c r="B1759" t="s">
        <v>4</v>
      </c>
      <c r="C1759" t="s">
        <v>17</v>
      </c>
      <c r="D1759">
        <v>12</v>
      </c>
      <c r="E1759">
        <v>10</v>
      </c>
      <c r="F1759">
        <v>2</v>
      </c>
      <c r="G1759">
        <v>1</v>
      </c>
      <c r="H1759" s="1">
        <v>4.363425925925926E-3</v>
      </c>
      <c r="I1759">
        <v>2016</v>
      </c>
      <c r="J1759" t="s">
        <v>7</v>
      </c>
      <c r="K1759" s="2" t="str">
        <f>HYPERLINK("https://www.nba.com/stats/events?CFID=&amp;CFPARAMS=&amp;GameEventID=49&amp;GameID=0021600717&amp;Season=2016-17&amp;flag=1&amp;title=Green%205'%20Floating%20Jump%20Shot%20(2%20PTS)%20(Leonard%201%20AST)", "Green 5' Floating Jump Shot (2 PTS) (Leonard 1 AST)")</f>
        <v>Green 5' Floating Jump Shot (2 PTS) (Leonard 1 AST)</v>
      </c>
      <c r="L1759" s="2" t="str">
        <f>HYPERLINK("https://www.nba.com/game/...-vs-...-0021600717/play-by-play?watchFullGame=true", "SAS vs DAL - Q1 06:17.00")</f>
        <v>SAS vs DAL - Q1 06:17.00</v>
      </c>
      <c r="M1759">
        <v>5</v>
      </c>
      <c r="N1759">
        <v>-1</v>
      </c>
      <c r="O1759">
        <v>51</v>
      </c>
      <c r="P1759">
        <v>-1</v>
      </c>
      <c r="Q1759">
        <v>51</v>
      </c>
      <c r="R1759" t="s">
        <v>0</v>
      </c>
      <c r="S1759" t="s">
        <v>0</v>
      </c>
      <c r="T1759" t="s">
        <v>0</v>
      </c>
    </row>
    <row r="1760" spans="1:20" x14ac:dyDescent="0.25">
      <c r="A1760">
        <v>21600890</v>
      </c>
      <c r="B1760" t="s">
        <v>4</v>
      </c>
      <c r="C1760" t="s">
        <v>5</v>
      </c>
      <c r="D1760">
        <v>29</v>
      </c>
      <c r="E1760">
        <v>21</v>
      </c>
      <c r="F1760">
        <v>8</v>
      </c>
      <c r="G1760">
        <v>2</v>
      </c>
      <c r="H1760" s="1">
        <v>6.8055555555555551E-3</v>
      </c>
      <c r="I1760">
        <v>2016</v>
      </c>
      <c r="J1760" t="s">
        <v>12</v>
      </c>
      <c r="K1760" s="2" t="str">
        <f>HYPERLINK("https://www.nba.com/stats/events?CFID=&amp;CFPARAMS=&amp;GameEventID=139&amp;GameID=0021600890&amp;Season=2016-17&amp;flag=1&amp;title=McCollum%201'%20Layup%20(10%20PTS)%20(Leonard%201%20AST)", "McCollum 1' Layup (10 PTS) (Leonard 1 AST)")</f>
        <v>McCollum 1' Layup (10 PTS) (Leonard 1 AST)</v>
      </c>
      <c r="L1760" s="2" t="str">
        <f>HYPERLINK("https://www.nba.com/game/...-vs-...-0021600890/play-by-play?watchFullGame=true", "POR vs DET - Q2 09:48.00")</f>
        <v>POR vs DET - Q2 09:48.00</v>
      </c>
      <c r="M1760">
        <v>1</v>
      </c>
      <c r="N1760">
        <v>10</v>
      </c>
      <c r="O1760">
        <v>2</v>
      </c>
      <c r="P1760">
        <v>10</v>
      </c>
      <c r="Q1760">
        <v>2</v>
      </c>
      <c r="R1760" t="s">
        <v>0</v>
      </c>
      <c r="S1760" t="s">
        <v>0</v>
      </c>
      <c r="T1760" t="s">
        <v>0</v>
      </c>
    </row>
    <row r="1761" spans="1:20" x14ac:dyDescent="0.25">
      <c r="A1761">
        <v>21800724</v>
      </c>
      <c r="B1761" t="s">
        <v>10</v>
      </c>
      <c r="C1761" t="s">
        <v>9</v>
      </c>
      <c r="D1761">
        <v>66</v>
      </c>
      <c r="E1761">
        <v>72</v>
      </c>
      <c r="F1761">
        <v>6</v>
      </c>
      <c r="G1761">
        <v>3</v>
      </c>
      <c r="H1761" s="1">
        <v>7.3726851851851852E-3</v>
      </c>
      <c r="I1761">
        <v>2018</v>
      </c>
      <c r="J1761" t="s">
        <v>1</v>
      </c>
      <c r="K1761" s="2" t="str">
        <f>HYPERLINK("https://www.nba.com/stats/events?CFID=&amp;CFPARAMS=&amp;GameEventID=330&amp;GameID=0021800724&amp;Season=2018-19&amp;flag=1&amp;title=Lowry%2027'%203PT%20Jump%20Shot%20(7%20PTS)%20(Leonard%202%20AST)", "Lowry 27' 3PT Jump Shot (7 PTS) (Leonard 2 AST)")</f>
        <v>Lowry 27' 3PT Jump Shot (7 PTS) (Leonard 2 AST)</v>
      </c>
      <c r="L1761" s="2" t="str">
        <f>HYPERLINK("https://www.nba.com/game/...-vs-...-0021800724/play-by-play?watchFullGame=true", "TOR vs HOU - Q3 10:37.00")</f>
        <v>TOR vs HOU - Q3 10:37.00</v>
      </c>
      <c r="M1761">
        <v>27</v>
      </c>
      <c r="N1761">
        <v>-174</v>
      </c>
      <c r="O1761">
        <v>205</v>
      </c>
      <c r="P1761">
        <v>-174</v>
      </c>
      <c r="Q1761">
        <v>205</v>
      </c>
      <c r="R1761" t="s">
        <v>0</v>
      </c>
      <c r="S1761" t="s">
        <v>0</v>
      </c>
      <c r="T1761" t="s">
        <v>0</v>
      </c>
    </row>
    <row r="1762" spans="1:20" x14ac:dyDescent="0.25">
      <c r="A1762">
        <v>21800828</v>
      </c>
      <c r="B1762" t="s">
        <v>4</v>
      </c>
      <c r="C1762" t="s">
        <v>6</v>
      </c>
      <c r="D1762">
        <v>51</v>
      </c>
      <c r="E1762">
        <v>42</v>
      </c>
      <c r="F1762">
        <v>9</v>
      </c>
      <c r="G1762">
        <v>3</v>
      </c>
      <c r="H1762" s="1">
        <v>7.8703703703703696E-3</v>
      </c>
      <c r="I1762">
        <v>2018</v>
      </c>
      <c r="J1762" t="s">
        <v>1</v>
      </c>
      <c r="K1762" s="2" t="str">
        <f>HYPERLINK("https://www.nba.com/stats/events?CFID=&amp;CFPARAMS=&amp;GameEventID=342&amp;GameID=0021800828&amp;Season=2018-19&amp;flag=1&amp;title=Ibaka%201'%20Cutting%20Dunk%20Shot%20(9%20PTS)%20(Leonard%203%20AST)", "Ibaka 1' Cutting Dunk Shot (9 PTS) (Leonard 3 AST)")</f>
        <v>Ibaka 1' Cutting Dunk Shot (9 PTS) (Leonard 3 AST)</v>
      </c>
      <c r="L1762" s="2" t="str">
        <f>HYPERLINK("https://www.nba.com/game/...-vs-...-0021800828/play-by-play?watchFullGame=true", "TOR vs NYK - Q3 11:20.00")</f>
        <v>TOR vs NYK - Q3 11:20.00</v>
      </c>
      <c r="M1762">
        <v>1</v>
      </c>
      <c r="N1762">
        <v>0</v>
      </c>
      <c r="O1762">
        <v>10</v>
      </c>
      <c r="P1762">
        <v>0</v>
      </c>
      <c r="Q1762">
        <v>10</v>
      </c>
      <c r="R1762" t="s">
        <v>0</v>
      </c>
      <c r="S1762" t="s">
        <v>0</v>
      </c>
      <c r="T1762" t="s">
        <v>0</v>
      </c>
    </row>
    <row r="1763" spans="1:20" x14ac:dyDescent="0.25">
      <c r="A1763">
        <v>21800828</v>
      </c>
      <c r="B1763" t="s">
        <v>10</v>
      </c>
      <c r="C1763" t="s">
        <v>9</v>
      </c>
      <c r="D1763">
        <v>62</v>
      </c>
      <c r="E1763">
        <v>50</v>
      </c>
      <c r="F1763">
        <v>12</v>
      </c>
      <c r="G1763">
        <v>3</v>
      </c>
      <c r="H1763" s="1">
        <v>4.6180555555555558E-3</v>
      </c>
      <c r="I1763">
        <v>2018</v>
      </c>
      <c r="J1763" t="s">
        <v>1</v>
      </c>
      <c r="K1763" s="2" t="str">
        <f>HYPERLINK("https://www.nba.com/stats/events?CFID=&amp;CFPARAMS=&amp;GameEventID=407&amp;GameID=0021800828&amp;Season=2018-19&amp;flag=1&amp;title=Lowry%2027'%203PT%20Jump%20Shot%20(11%20PTS)%20(Leonard%204%20AST)", "Lowry 27' 3PT Jump Shot (11 PTS) (Leonard 4 AST)")</f>
        <v>Lowry 27' 3PT Jump Shot (11 PTS) (Leonard 4 AST)</v>
      </c>
      <c r="L1763" s="2" t="str">
        <f>HYPERLINK("https://www.nba.com/game/...-vs-...-0021800828/play-by-play?watchFullGame=true", "TOR vs NYK - Q3 06:39.00")</f>
        <v>TOR vs NYK - Q3 06:39.00</v>
      </c>
      <c r="M1763">
        <v>27</v>
      </c>
      <c r="N1763">
        <v>-155</v>
      </c>
      <c r="O1763">
        <v>222</v>
      </c>
      <c r="P1763">
        <v>-155</v>
      </c>
      <c r="Q1763">
        <v>222</v>
      </c>
      <c r="R1763" t="s">
        <v>0</v>
      </c>
      <c r="S1763" t="s">
        <v>0</v>
      </c>
      <c r="T1763" t="s">
        <v>0</v>
      </c>
    </row>
    <row r="1764" spans="1:20" x14ac:dyDescent="0.25">
      <c r="A1764">
        <v>21800876</v>
      </c>
      <c r="B1764" t="s">
        <v>4</v>
      </c>
      <c r="C1764" t="s">
        <v>6</v>
      </c>
      <c r="D1764">
        <v>86</v>
      </c>
      <c r="E1764">
        <v>86</v>
      </c>
      <c r="F1764">
        <v>0</v>
      </c>
      <c r="G1764">
        <v>3</v>
      </c>
      <c r="H1764" s="1">
        <v>1.1458333333333333E-3</v>
      </c>
      <c r="I1764">
        <v>2018</v>
      </c>
      <c r="J1764" t="s">
        <v>1</v>
      </c>
      <c r="K1764" s="2" t="str">
        <f>HYPERLINK("https://www.nba.com/stats/events?CFID=&amp;CFPARAMS=&amp;GameEventID=473&amp;GameID=0021800876&amp;Season=2018-19&amp;flag=1&amp;title=Gasol%202'%20Cutting%20Dunk%20Shot%20(2%20PTS)%20(Leonard%201%20AST)", "Gasol 2' Cutting Dunk Shot (2 PTS) (Leonard 1 AST)")</f>
        <v>Gasol 2' Cutting Dunk Shot (2 PTS) (Leonard 1 AST)</v>
      </c>
      <c r="L1764" s="2" t="str">
        <f>HYPERLINK("https://www.nba.com/game/...-vs-...-0021800876/play-by-play?watchFullGame=true", "TOR vs SAS - Q3 01:39.00")</f>
        <v>TOR vs SAS - Q3 01:39.00</v>
      </c>
      <c r="M1764">
        <v>2</v>
      </c>
      <c r="N1764">
        <v>10</v>
      </c>
      <c r="O1764">
        <v>12</v>
      </c>
      <c r="P1764">
        <v>10</v>
      </c>
      <c r="Q1764">
        <v>12</v>
      </c>
      <c r="R1764" t="s">
        <v>0</v>
      </c>
      <c r="S1764" t="s">
        <v>0</v>
      </c>
      <c r="T1764" t="s">
        <v>0</v>
      </c>
    </row>
    <row r="1765" spans="1:20" x14ac:dyDescent="0.25">
      <c r="A1765">
        <v>21400064</v>
      </c>
      <c r="B1765" t="s">
        <v>4</v>
      </c>
      <c r="C1765" t="s">
        <v>9</v>
      </c>
      <c r="D1765">
        <v>12</v>
      </c>
      <c r="E1765">
        <v>7</v>
      </c>
      <c r="F1765">
        <v>5</v>
      </c>
      <c r="G1765">
        <v>1</v>
      </c>
      <c r="H1765" s="1">
        <v>5.9722222222222225E-3</v>
      </c>
      <c r="I1765">
        <v>2014</v>
      </c>
      <c r="J1765" t="s">
        <v>7</v>
      </c>
      <c r="K1765" s="2" t="str">
        <f>HYPERLINK("https://www.nba.com/stats/events?CFID=&amp;CFPARAMS=&amp;GameEventID=28&amp;GameID=0021400064&amp;Season=2014-15&amp;flag=1&amp;title=Parker%2016'%20Jump%20Shot%20(4%20PTS)%20(Leonard%201%20AST)", "Parker 16' Jump Shot (4 PTS) (Leonard 1 AST)")</f>
        <v>Parker 16' Jump Shot (4 PTS) (Leonard 1 AST)</v>
      </c>
      <c r="L1765" s="2" t="str">
        <f>HYPERLINK("https://www.nba.com/game/...-vs-...-0021400064/play-by-play?watchFullGame=true", "SAS vs ATL - Q1 08:36.00")</f>
        <v>SAS vs ATL - Q1 08:36.00</v>
      </c>
      <c r="M1765">
        <v>16</v>
      </c>
      <c r="N1765">
        <v>-164</v>
      </c>
      <c r="O1765">
        <v>7</v>
      </c>
      <c r="P1765">
        <v>-164</v>
      </c>
      <c r="Q1765">
        <v>7</v>
      </c>
      <c r="R1765" t="s">
        <v>0</v>
      </c>
      <c r="S1765" t="s">
        <v>0</v>
      </c>
      <c r="T1765" t="s">
        <v>0</v>
      </c>
    </row>
    <row r="1766" spans="1:20" x14ac:dyDescent="0.25">
      <c r="A1766">
        <v>21400152</v>
      </c>
      <c r="B1766" t="s">
        <v>4</v>
      </c>
      <c r="C1766" t="s">
        <v>38</v>
      </c>
      <c r="D1766">
        <v>32</v>
      </c>
      <c r="E1766">
        <v>17</v>
      </c>
      <c r="F1766">
        <v>15</v>
      </c>
      <c r="G1766">
        <v>2</v>
      </c>
      <c r="H1766" s="1">
        <v>6.6087962962962966E-3</v>
      </c>
      <c r="I1766">
        <v>2014</v>
      </c>
      <c r="J1766" t="s">
        <v>7</v>
      </c>
      <c r="K1766" s="2" t="str">
        <f>HYPERLINK("https://www.nba.com/stats/events?CFID=&amp;CFPARAMS=&amp;GameEventID=147&amp;GameID=0021400152&amp;Season=2014-15&amp;flag=1&amp;title=Baynes%20%20Dunk%20(6%20PTS)%20(Leonard%201%20AST)", "Baynes  Dunk (6 PTS) (Leonard 1 AST)")</f>
        <v>Baynes  Dunk (6 PTS) (Leonard 1 AST)</v>
      </c>
      <c r="L1766" s="2" t="str">
        <f>HYPERLINK("https://www.nba.com/game/...-vs-...-0021400152/play-by-play?watchFullGame=true", "SAS vs PHI - Q2 09:31.00")</f>
        <v>SAS vs PHI - Q2 09:31.00</v>
      </c>
      <c r="M1766">
        <v>0</v>
      </c>
      <c r="N1766">
        <v>0</v>
      </c>
      <c r="O1766">
        <v>1</v>
      </c>
      <c r="P1766">
        <v>0</v>
      </c>
      <c r="Q1766">
        <v>1</v>
      </c>
      <c r="R1766" t="s">
        <v>0</v>
      </c>
      <c r="S1766" t="s">
        <v>0</v>
      </c>
      <c r="T1766" t="s">
        <v>0</v>
      </c>
    </row>
    <row r="1767" spans="1:20" x14ac:dyDescent="0.25">
      <c r="A1767">
        <v>21400361</v>
      </c>
      <c r="B1767" t="s">
        <v>4</v>
      </c>
      <c r="C1767" t="s">
        <v>52</v>
      </c>
      <c r="D1767">
        <v>14</v>
      </c>
      <c r="E1767">
        <v>14</v>
      </c>
      <c r="F1767">
        <v>0</v>
      </c>
      <c r="G1767">
        <v>1</v>
      </c>
      <c r="H1767" s="1">
        <v>2.7083333333333334E-3</v>
      </c>
      <c r="I1767">
        <v>2014</v>
      </c>
      <c r="J1767" t="s">
        <v>7</v>
      </c>
      <c r="K1767" s="2" t="str">
        <f>HYPERLINK("https://www.nba.com/stats/events?CFID=&amp;CFPARAMS=&amp;GameEventID=70&amp;GameID=0021400361&amp;Season=2014-15&amp;flag=1&amp;title=Diaw%204'%20Running%20Hook%20Shot%20(2%20PTS)%20(Leonard%202%20AST)", "Diaw 4' Running Hook Shot (2 PTS) (Leonard 2 AST)")</f>
        <v>Diaw 4' Running Hook Shot (2 PTS) (Leonard 2 AST)</v>
      </c>
      <c r="L1767" s="2" t="str">
        <f>HYPERLINK("https://www.nba.com/game/...-vs-...-0021400361/play-by-play?watchFullGame=true", "SAS vs POR - Q1 03:54.00")</f>
        <v>SAS vs POR - Q1 03:54.00</v>
      </c>
      <c r="M1767">
        <v>4</v>
      </c>
      <c r="N1767">
        <v>23</v>
      </c>
      <c r="O1767">
        <v>30</v>
      </c>
      <c r="P1767">
        <v>23</v>
      </c>
      <c r="Q1767">
        <v>30</v>
      </c>
      <c r="R1767" t="s">
        <v>0</v>
      </c>
      <c r="S1767" t="s">
        <v>0</v>
      </c>
      <c r="T1767" t="s">
        <v>0</v>
      </c>
    </row>
    <row r="1768" spans="1:20" x14ac:dyDescent="0.25">
      <c r="A1768">
        <v>21400624</v>
      </c>
      <c r="B1768" t="s">
        <v>4</v>
      </c>
      <c r="C1768" t="s">
        <v>9</v>
      </c>
      <c r="D1768">
        <v>25</v>
      </c>
      <c r="E1768">
        <v>25</v>
      </c>
      <c r="F1768">
        <v>0</v>
      </c>
      <c r="G1768">
        <v>2</v>
      </c>
      <c r="H1768" s="1">
        <v>7.5694444444444446E-3</v>
      </c>
      <c r="I1768">
        <v>2014</v>
      </c>
      <c r="J1768" t="s">
        <v>7</v>
      </c>
      <c r="K1768" s="2" t="str">
        <f>HYPERLINK("https://www.nba.com/stats/events?CFID=&amp;CFPARAMS=&amp;GameEventID=135&amp;GameID=0021400624&amp;Season=2014-15&amp;flag=1&amp;title=Parker%2020'%20Jump%20Shot%20(2%20PTS)%20(Leonard%202%20AST)", "Parker 20' Jump Shot (2 PTS) (Leonard 2 AST)")</f>
        <v>Parker 20' Jump Shot (2 PTS) (Leonard 2 AST)</v>
      </c>
      <c r="L1768" s="2" t="str">
        <f>HYPERLINK("https://www.nba.com/game/...-vs-...-0021400624/play-by-play?watchFullGame=true", "SAS vs DEN - Q2 10:54.00")</f>
        <v>SAS vs DEN - Q2 10:54.00</v>
      </c>
      <c r="M1768">
        <v>20</v>
      </c>
      <c r="N1768">
        <v>-188</v>
      </c>
      <c r="O1768">
        <v>56</v>
      </c>
      <c r="P1768">
        <v>-188</v>
      </c>
      <c r="Q1768">
        <v>56</v>
      </c>
      <c r="R1768" t="s">
        <v>0</v>
      </c>
      <c r="S1768" t="s">
        <v>0</v>
      </c>
      <c r="T1768" t="s">
        <v>0</v>
      </c>
    </row>
    <row r="1769" spans="1:20" x14ac:dyDescent="0.25">
      <c r="A1769">
        <v>21400774</v>
      </c>
      <c r="B1769" t="s">
        <v>4</v>
      </c>
      <c r="C1769" t="s">
        <v>19</v>
      </c>
      <c r="D1769">
        <v>95</v>
      </c>
      <c r="E1769">
        <v>93</v>
      </c>
      <c r="F1769">
        <v>2</v>
      </c>
      <c r="G1769">
        <v>4</v>
      </c>
      <c r="H1769" s="1">
        <v>2.4305555555555558E-5</v>
      </c>
      <c r="I1769">
        <v>2014</v>
      </c>
      <c r="J1769" t="s">
        <v>7</v>
      </c>
      <c r="K1769" s="2" t="str">
        <f>HYPERLINK("https://www.nba.com/stats/events?CFID=&amp;CFPARAMS=&amp;GameEventID=478&amp;GameID=0021400774&amp;Season=2014-15&amp;flag=1&amp;title=Belinelli%2018'%20Pullup%20Jump%20Shot%20(12%20PTS)%20(Leonard%201%20AST)", "Belinelli 18' Pullup Jump Shot (12 PTS) (Leonard 1 AST)")</f>
        <v>Belinelli 18' Pullup Jump Shot (12 PTS) (Leonard 1 AST)</v>
      </c>
      <c r="L1769" s="2" t="str">
        <f>HYPERLINK("https://www.nba.com/game/...-vs-...-0021400774/play-by-play?watchFullGame=true", "SAS vs IND - Q4 00:02.10")</f>
        <v>SAS vs IND - Q4 00:02.10</v>
      </c>
      <c r="M1769">
        <v>18</v>
      </c>
      <c r="N1769">
        <v>-177</v>
      </c>
      <c r="O1769">
        <v>-13</v>
      </c>
      <c r="P1769">
        <v>-177</v>
      </c>
      <c r="Q1769">
        <v>-13</v>
      </c>
      <c r="R1769" t="s">
        <v>0</v>
      </c>
      <c r="S1769" t="s">
        <v>0</v>
      </c>
      <c r="T1769" t="s">
        <v>0</v>
      </c>
    </row>
    <row r="1770" spans="1:20" x14ac:dyDescent="0.25">
      <c r="A1770">
        <v>21400790</v>
      </c>
      <c r="B1770" t="s">
        <v>4</v>
      </c>
      <c r="C1770" t="s">
        <v>5</v>
      </c>
      <c r="D1770">
        <v>101</v>
      </c>
      <c r="E1770">
        <v>83</v>
      </c>
      <c r="F1770">
        <v>18</v>
      </c>
      <c r="G1770">
        <v>4</v>
      </c>
      <c r="H1770" s="1">
        <v>1.6319444444444445E-3</v>
      </c>
      <c r="I1770">
        <v>2014</v>
      </c>
      <c r="J1770" t="s">
        <v>7</v>
      </c>
      <c r="K1770" s="2" t="str">
        <f>HYPERLINK("https://www.nba.com/stats/events?CFID=&amp;CFPARAMS=&amp;GameEventID=445&amp;GameID=0021400790&amp;Season=2014-15&amp;flag=1&amp;title=Baynes%201'%20Layup%20(12%20PTS)%20(Leonard%204%20AST)", "Baynes 1' Layup (12 PTS) (Leonard 4 AST)")</f>
        <v>Baynes 1' Layup (12 PTS) (Leonard 4 AST)</v>
      </c>
      <c r="L1770" s="2" t="str">
        <f>HYPERLINK("https://www.nba.com/game/...-vs-...-0021400790/play-by-play?watchFullGame=true", "SAS vs DET - Q4 02:21.00")</f>
        <v>SAS vs DET - Q4 02:21.00</v>
      </c>
      <c r="M1770">
        <v>1</v>
      </c>
      <c r="N1770">
        <v>7</v>
      </c>
      <c r="O1770">
        <v>4</v>
      </c>
      <c r="P1770">
        <v>7</v>
      </c>
      <c r="Q1770">
        <v>4</v>
      </c>
      <c r="R1770" t="s">
        <v>0</v>
      </c>
      <c r="S1770" t="s">
        <v>0</v>
      </c>
      <c r="T1770" t="s">
        <v>0</v>
      </c>
    </row>
    <row r="1771" spans="1:20" x14ac:dyDescent="0.25">
      <c r="A1771">
        <v>21400921</v>
      </c>
      <c r="B1771" t="s">
        <v>4</v>
      </c>
      <c r="C1771" t="s">
        <v>5</v>
      </c>
      <c r="D1771">
        <v>60</v>
      </c>
      <c r="E1771">
        <v>55</v>
      </c>
      <c r="F1771">
        <v>5</v>
      </c>
      <c r="G1771">
        <v>2</v>
      </c>
      <c r="H1771" s="1">
        <v>6.3425925925925922E-4</v>
      </c>
      <c r="I1771">
        <v>2014</v>
      </c>
      <c r="J1771" t="s">
        <v>7</v>
      </c>
      <c r="K1771" s="2" t="str">
        <f>HYPERLINK("https://www.nba.com/stats/events?CFID=&amp;CFPARAMS=&amp;GameEventID=238&amp;GameID=0021400921&amp;Season=2014-15&amp;flag=1&amp;title=Duncan%202'%20Layup%20(12%20PTS)%20(Leonard%203%20AST)", "Duncan 2' Layup (12 PTS) (Leonard 3 AST)")</f>
        <v>Duncan 2' Layup (12 PTS) (Leonard 3 AST)</v>
      </c>
      <c r="L1771" s="2" t="str">
        <f>HYPERLINK("https://www.nba.com/game/...-vs-...-0021400921/play-by-play?watchFullGame=true", "SAS vs DEN - Q2 00:54.80")</f>
        <v>SAS vs DEN - Q2 00:54.80</v>
      </c>
      <c r="M1771">
        <v>2</v>
      </c>
      <c r="N1771">
        <v>1</v>
      </c>
      <c r="O1771">
        <v>15</v>
      </c>
      <c r="P1771">
        <v>1</v>
      </c>
      <c r="Q1771">
        <v>15</v>
      </c>
      <c r="R1771" t="s">
        <v>0</v>
      </c>
      <c r="S1771" t="s">
        <v>0</v>
      </c>
      <c r="T1771" t="s">
        <v>0</v>
      </c>
    </row>
    <row r="1772" spans="1:20" x14ac:dyDescent="0.25">
      <c r="A1772">
        <v>21401010</v>
      </c>
      <c r="B1772" t="s">
        <v>4</v>
      </c>
      <c r="C1772" t="s">
        <v>9</v>
      </c>
      <c r="D1772">
        <v>11</v>
      </c>
      <c r="E1772">
        <v>14</v>
      </c>
      <c r="F1772">
        <v>3</v>
      </c>
      <c r="G1772">
        <v>1</v>
      </c>
      <c r="H1772" s="1">
        <v>4.6643518518518518E-3</v>
      </c>
      <c r="I1772">
        <v>2014</v>
      </c>
      <c r="J1772" t="s">
        <v>7</v>
      </c>
      <c r="K1772" s="2" t="str">
        <f>HYPERLINK("https://www.nba.com/stats/events?CFID=&amp;CFPARAMS=&amp;GameEventID=56&amp;GameID=0021401010&amp;Season=2014-15&amp;flag=1&amp;title=Parker%209'%20Jump%20Shot%20(4%20PTS)%20(Leonard%201%20AST)", "Parker 9' Jump Shot (4 PTS) (Leonard 1 AST)")</f>
        <v>Parker 9' Jump Shot (4 PTS) (Leonard 1 AST)</v>
      </c>
      <c r="L1772" s="2" t="str">
        <f>HYPERLINK("https://www.nba.com/game/...-vs-...-0021401010/play-by-play?watchFullGame=true", "SAS vs MIL - Q1 06:43.00")</f>
        <v>SAS vs MIL - Q1 06:43.00</v>
      </c>
      <c r="M1772">
        <v>9</v>
      </c>
      <c r="N1772">
        <v>-92</v>
      </c>
      <c r="O1772">
        <v>-5</v>
      </c>
      <c r="P1772">
        <v>-92</v>
      </c>
      <c r="Q1772">
        <v>-5</v>
      </c>
      <c r="R1772" t="s">
        <v>0</v>
      </c>
      <c r="S1772" t="s">
        <v>0</v>
      </c>
      <c r="T1772" t="s">
        <v>0</v>
      </c>
    </row>
    <row r="1773" spans="1:20" x14ac:dyDescent="0.25">
      <c r="A1773">
        <v>21801083</v>
      </c>
      <c r="B1773" t="s">
        <v>10</v>
      </c>
      <c r="C1773" t="s">
        <v>9</v>
      </c>
      <c r="D1773">
        <v>39</v>
      </c>
      <c r="E1773">
        <v>30</v>
      </c>
      <c r="F1773">
        <v>9</v>
      </c>
      <c r="G1773">
        <v>2</v>
      </c>
      <c r="H1773" s="1">
        <v>5.8796296296296296E-3</v>
      </c>
      <c r="I1773">
        <v>2018</v>
      </c>
      <c r="J1773" t="s">
        <v>1</v>
      </c>
      <c r="K1773" s="2" t="str">
        <f>HYPERLINK("https://www.nba.com/stats/events?CFID=&amp;CFPARAMS=&amp;GameEventID=189&amp;GameID=0021801083&amp;Season=2018-19&amp;flag=1&amp;title=Lin%2026'%203PT%20Jump%20Shot%20(5%20PTS)%20(Leonard%202%20AST)", "Lin 26' 3PT Jump Shot (5 PTS) (Leonard 2 AST)")</f>
        <v>Lin 26' 3PT Jump Shot (5 PTS) (Leonard 2 AST)</v>
      </c>
      <c r="L1773" s="2" t="str">
        <f>HYPERLINK("https://www.nba.com/game/...-vs-...-0021801083/play-by-play?watchFullGame=true", "TOR vs OKC - Q2 08:28.00")</f>
        <v>TOR vs OKC - Q2 08:28.00</v>
      </c>
      <c r="M1773">
        <v>26</v>
      </c>
      <c r="N1773">
        <v>-54</v>
      </c>
      <c r="O1773">
        <v>253</v>
      </c>
      <c r="P1773">
        <v>-54</v>
      </c>
      <c r="Q1773">
        <v>253</v>
      </c>
      <c r="R1773" t="s">
        <v>0</v>
      </c>
      <c r="S1773" t="s">
        <v>0</v>
      </c>
      <c r="T1773" t="s">
        <v>0</v>
      </c>
    </row>
    <row r="1774" spans="1:20" x14ac:dyDescent="0.25">
      <c r="A1774">
        <v>21801110</v>
      </c>
      <c r="B1774" t="s">
        <v>10</v>
      </c>
      <c r="C1774" t="s">
        <v>9</v>
      </c>
      <c r="D1774">
        <v>65</v>
      </c>
      <c r="E1774">
        <v>48</v>
      </c>
      <c r="F1774">
        <v>17</v>
      </c>
      <c r="G1774">
        <v>3</v>
      </c>
      <c r="H1774" s="1">
        <v>6.6435185185185182E-3</v>
      </c>
      <c r="I1774">
        <v>2018</v>
      </c>
      <c r="J1774" t="s">
        <v>1</v>
      </c>
      <c r="K1774" s="2" t="str">
        <f>HYPERLINK("https://www.nba.com/stats/events?CFID=&amp;CFPARAMS=&amp;GameEventID=365&amp;GameID=0021801110&amp;Season=2018-19&amp;flag=1&amp;title=Lowry%203PT%20Jump%20Shot%20(11%20PTS)%20(Leonard%205%20AST)", "Lowry 3PT Jump Shot (11 PTS) (Leonard 5 AST)")</f>
        <v>Lowry 3PT Jump Shot (11 PTS) (Leonard 5 AST)</v>
      </c>
      <c r="L1774" s="2" t="str">
        <f>HYPERLINK("https://www.nba.com/game/...-vs-...-0021801110/play-by-play?watchFullGame=true", "TOR vs CHI - Q3 09:34.00")</f>
        <v>TOR vs CHI - Q3 09:34.00</v>
      </c>
      <c r="M1774">
        <v>0</v>
      </c>
      <c r="N1774">
        <v>-229</v>
      </c>
      <c r="O1774">
        <v>-4</v>
      </c>
      <c r="P1774">
        <v>-229</v>
      </c>
      <c r="Q1774">
        <v>-4</v>
      </c>
      <c r="R1774" t="s">
        <v>0</v>
      </c>
      <c r="S1774" t="s">
        <v>0</v>
      </c>
      <c r="T1774" t="s">
        <v>0</v>
      </c>
    </row>
    <row r="1775" spans="1:20" x14ac:dyDescent="0.25">
      <c r="A1775">
        <v>21801169</v>
      </c>
      <c r="B1775" t="s">
        <v>4</v>
      </c>
      <c r="C1775" t="s">
        <v>20</v>
      </c>
      <c r="D1775">
        <v>83</v>
      </c>
      <c r="E1775">
        <v>71</v>
      </c>
      <c r="F1775">
        <v>12</v>
      </c>
      <c r="G1775">
        <v>3</v>
      </c>
      <c r="H1775" s="1">
        <v>2.627314814814815E-3</v>
      </c>
      <c r="I1775">
        <v>2018</v>
      </c>
      <c r="J1775" t="s">
        <v>1</v>
      </c>
      <c r="K1775" s="2" t="str">
        <f>HYPERLINK("https://www.nba.com/stats/events?CFID=&amp;CFPARAMS=&amp;GameEventID=420&amp;GameID=0021801169&amp;Season=2018-19&amp;flag=1&amp;title=Lowry%202'%20Cutting%20Layup%20Shot%20(5%20PTS)%20(Leonard%203%20AST)", "Lowry 2' Cutting Layup Shot (5 PTS) (Leonard 3 AST)")</f>
        <v>Lowry 2' Cutting Layup Shot (5 PTS) (Leonard 3 AST)</v>
      </c>
      <c r="L1775" s="2" t="str">
        <f>HYPERLINK("https://www.nba.com/game/...-vs-...-0021801169/play-by-play?watchFullGame=true", "TOR vs BKN - Q3 03:47.00")</f>
        <v>TOR vs BKN - Q3 03:47.00</v>
      </c>
      <c r="M1775">
        <v>2</v>
      </c>
      <c r="N1775">
        <v>-11</v>
      </c>
      <c r="O1775">
        <v>22</v>
      </c>
      <c r="P1775">
        <v>-11</v>
      </c>
      <c r="Q1775">
        <v>22</v>
      </c>
      <c r="R1775" t="s">
        <v>0</v>
      </c>
      <c r="S1775" t="s">
        <v>0</v>
      </c>
      <c r="T1775" t="s">
        <v>0</v>
      </c>
    </row>
    <row r="1776" spans="1:20" x14ac:dyDescent="0.25">
      <c r="A1776">
        <v>21801169</v>
      </c>
      <c r="B1776" t="s">
        <v>4</v>
      </c>
      <c r="C1776" t="s">
        <v>30</v>
      </c>
      <c r="D1776">
        <v>25</v>
      </c>
      <c r="E1776">
        <v>19</v>
      </c>
      <c r="F1776">
        <v>6</v>
      </c>
      <c r="G1776">
        <v>1</v>
      </c>
      <c r="H1776" s="1">
        <v>1.4930555555555556E-3</v>
      </c>
      <c r="I1776">
        <v>2018</v>
      </c>
      <c r="J1776" t="s">
        <v>1</v>
      </c>
      <c r="K1776" s="2" t="str">
        <f>HYPERLINK("https://www.nba.com/stats/events?CFID=&amp;CFPARAMS=&amp;GameEventID=132&amp;GameID=0021801169&amp;Season=2018-19&amp;flag=1&amp;title=Ibaka%208'%20Turnaround%20Fadeaway%20(5%20PTS)%20(Leonard%201%20AST)", "Ibaka 8' Turnaround Fadeaway (5 PTS) (Leonard 1 AST)")</f>
        <v>Ibaka 8' Turnaround Fadeaway (5 PTS) (Leonard 1 AST)</v>
      </c>
      <c r="L1776" s="2" t="str">
        <f>HYPERLINK("https://www.nba.com/game/...-vs-...-0021801169/play-by-play?watchFullGame=true", "TOR vs BKN - Q1 02:09.00")</f>
        <v>TOR vs BKN - Q1 02:09.00</v>
      </c>
      <c r="M1776">
        <v>8</v>
      </c>
      <c r="N1776">
        <v>-81</v>
      </c>
      <c r="O1776">
        <v>19</v>
      </c>
      <c r="P1776">
        <v>-81</v>
      </c>
      <c r="Q1776">
        <v>19</v>
      </c>
      <c r="R1776" t="s">
        <v>0</v>
      </c>
      <c r="S1776" t="s">
        <v>0</v>
      </c>
      <c r="T1776" t="s">
        <v>0</v>
      </c>
    </row>
    <row r="1777" spans="1:20" x14ac:dyDescent="0.25">
      <c r="A1777">
        <v>21600942</v>
      </c>
      <c r="B1777" t="s">
        <v>4</v>
      </c>
      <c r="C1777" t="s">
        <v>38</v>
      </c>
      <c r="D1777">
        <v>67</v>
      </c>
      <c r="E1777">
        <v>69</v>
      </c>
      <c r="F1777">
        <v>2</v>
      </c>
      <c r="G1777">
        <v>3</v>
      </c>
      <c r="H1777" s="1">
        <v>3.7384259259259259E-3</v>
      </c>
      <c r="I1777">
        <v>2016</v>
      </c>
      <c r="J1777" t="s">
        <v>7</v>
      </c>
      <c r="K1777" s="2" t="str">
        <f>HYPERLINK("https://www.nba.com/stats/events?CFID=&amp;CFPARAMS=&amp;GameEventID=264&amp;GameID=0021600942&amp;Season=2016-17&amp;flag=1&amp;title=Lee%20%20Dunk%20(2%20PTS)%20(Leonard%204%20AST)", "Lee  Dunk (2 PTS) (Leonard 4 AST)")</f>
        <v>Lee  Dunk (2 PTS) (Leonard 4 AST)</v>
      </c>
      <c r="L1777" s="2" t="str">
        <f>HYPERLINK("https://www.nba.com/game/...-vs-...-0021600942/play-by-play?watchFullGame=true", "SAS vs HOU - Q3 05:23.00")</f>
        <v>SAS vs HOU - Q3 05:23.00</v>
      </c>
      <c r="M1777">
        <v>0</v>
      </c>
      <c r="N1777">
        <v>0</v>
      </c>
      <c r="O1777">
        <v>1</v>
      </c>
      <c r="P1777">
        <v>0</v>
      </c>
      <c r="Q1777">
        <v>1</v>
      </c>
      <c r="R1777" t="s">
        <v>0</v>
      </c>
      <c r="S1777" t="s">
        <v>0</v>
      </c>
      <c r="T1777" t="s">
        <v>0</v>
      </c>
    </row>
    <row r="1778" spans="1:20" x14ac:dyDescent="0.25">
      <c r="A1778">
        <v>21600962</v>
      </c>
      <c r="B1778" t="s">
        <v>10</v>
      </c>
      <c r="C1778" t="s">
        <v>9</v>
      </c>
      <c r="D1778">
        <v>17</v>
      </c>
      <c r="E1778">
        <v>19</v>
      </c>
      <c r="F1778">
        <v>2</v>
      </c>
      <c r="G1778">
        <v>1</v>
      </c>
      <c r="H1778" s="1">
        <v>2.3842592592592591E-3</v>
      </c>
      <c r="I1778">
        <v>2016</v>
      </c>
      <c r="J1778" t="s">
        <v>7</v>
      </c>
      <c r="K1778" s="2" t="str">
        <f>HYPERLINK("https://www.nba.com/stats/events?CFID=&amp;CFPARAMS=&amp;GameEventID=91&amp;GameID=0021600962&amp;Season=2016-17&amp;flag=1&amp;title=Mills%2024'%203PT%20Jump%20Shot%20(3%20PTS)%20(Leonard%201%20AST)", "Mills 24' 3PT Jump Shot (3 PTS) (Leonard 1 AST)")</f>
        <v>Mills 24' 3PT Jump Shot (3 PTS) (Leonard 1 AST)</v>
      </c>
      <c r="L1778" s="2" t="str">
        <f>HYPERLINK("https://www.nba.com/game/...-vs-...-0021600962/play-by-play?watchFullGame=true", "SAS vs OKC - Q1 03:26.00")</f>
        <v>SAS vs OKC - Q1 03:26.00</v>
      </c>
      <c r="M1778">
        <v>24</v>
      </c>
      <c r="N1778">
        <v>-120</v>
      </c>
      <c r="O1778">
        <v>208</v>
      </c>
      <c r="P1778">
        <v>-120</v>
      </c>
      <c r="Q1778">
        <v>208</v>
      </c>
      <c r="R1778" t="s">
        <v>0</v>
      </c>
      <c r="S1778" t="s">
        <v>0</v>
      </c>
      <c r="T1778" t="s">
        <v>0</v>
      </c>
    </row>
    <row r="1779" spans="1:20" x14ac:dyDescent="0.25">
      <c r="A1779">
        <v>21600983</v>
      </c>
      <c r="B1779" t="s">
        <v>4</v>
      </c>
      <c r="C1779" t="s">
        <v>14</v>
      </c>
      <c r="D1779">
        <v>38</v>
      </c>
      <c r="E1779">
        <v>30</v>
      </c>
      <c r="F1779">
        <v>8</v>
      </c>
      <c r="G1779">
        <v>2</v>
      </c>
      <c r="H1779" s="1">
        <v>8.0324074074074082E-3</v>
      </c>
      <c r="I1779">
        <v>2016</v>
      </c>
      <c r="J1779" t="s">
        <v>12</v>
      </c>
      <c r="K1779" s="2" t="str">
        <f>HYPERLINK("https://www.nba.com/stats/events?CFID=&amp;CFPARAMS=&amp;GameEventID=122&amp;GameID=0021600983&amp;Season=2016-17&amp;flag=1&amp;title=McCollum%2019'%20Step%20Back%20Jump%20Shot%20(10%20PTS)%20(Leonard%202%20AST)", "McCollum 19' Step Back Jump Shot (10 PTS) (Leonard 2 AST)")</f>
        <v>McCollum 19' Step Back Jump Shot (10 PTS) (Leonard 2 AST)</v>
      </c>
      <c r="L1779" s="2" t="str">
        <f>HYPERLINK("https://www.nba.com/game/...-vs-...-0021600983/play-by-play?watchFullGame=true", "POR vs WAS - Q2 11:34.00")</f>
        <v>POR vs WAS - Q2 11:34.00</v>
      </c>
      <c r="M1779">
        <v>19</v>
      </c>
      <c r="N1779">
        <v>-186</v>
      </c>
      <c r="O1779">
        <v>21</v>
      </c>
      <c r="P1779">
        <v>-186</v>
      </c>
      <c r="Q1779">
        <v>21</v>
      </c>
      <c r="R1779" t="s">
        <v>0</v>
      </c>
      <c r="S1779" t="s">
        <v>0</v>
      </c>
      <c r="T1779" t="s">
        <v>0</v>
      </c>
    </row>
    <row r="1780" spans="1:20" x14ac:dyDescent="0.25">
      <c r="A1780">
        <v>21601042</v>
      </c>
      <c r="B1780" t="s">
        <v>10</v>
      </c>
      <c r="C1780" t="s">
        <v>9</v>
      </c>
      <c r="D1780">
        <v>80</v>
      </c>
      <c r="E1780">
        <v>59</v>
      </c>
      <c r="F1780">
        <v>21</v>
      </c>
      <c r="G1780">
        <v>3</v>
      </c>
      <c r="H1780" s="1">
        <v>4.0046296296296297E-3</v>
      </c>
      <c r="I1780">
        <v>2016</v>
      </c>
      <c r="J1780" t="s">
        <v>7</v>
      </c>
      <c r="K1780" s="2" t="str">
        <f>HYPERLINK("https://www.nba.com/stats/events?CFID=&amp;CFPARAMS=&amp;GameEventID=321&amp;GameID=0021601042&amp;Season=2016-17&amp;flag=1&amp;title=Simmons%20%203PT%20Jump%20Shot%20(5%20PTS)%20(Leonard%203%20AST)", "Simmons  3PT Jump Shot (5 PTS) (Leonard 3 AST)")</f>
        <v>Simmons  3PT Jump Shot (5 PTS) (Leonard 3 AST)</v>
      </c>
      <c r="L1780" s="2" t="str">
        <f>HYPERLINK("https://www.nba.com/game/...-vs-...-0021601042/play-by-play?watchFullGame=true", "SAS vs SAC - Q3 05:46.00")</f>
        <v>SAS vs SAC - Q3 05:46.00</v>
      </c>
      <c r="M1780">
        <v>0</v>
      </c>
      <c r="N1780">
        <v>-228</v>
      </c>
      <c r="O1780">
        <v>28</v>
      </c>
      <c r="P1780">
        <v>-228</v>
      </c>
      <c r="Q1780">
        <v>28</v>
      </c>
      <c r="R1780" t="s">
        <v>0</v>
      </c>
      <c r="S1780" t="s">
        <v>0</v>
      </c>
      <c r="T1780" t="s">
        <v>0</v>
      </c>
    </row>
    <row r="1781" spans="1:20" x14ac:dyDescent="0.25">
      <c r="A1781">
        <v>21601056</v>
      </c>
      <c r="B1781" t="s">
        <v>4</v>
      </c>
      <c r="C1781" t="s">
        <v>23</v>
      </c>
      <c r="D1781">
        <v>66</v>
      </c>
      <c r="E1781">
        <v>62</v>
      </c>
      <c r="F1781">
        <v>4</v>
      </c>
      <c r="G1781">
        <v>3</v>
      </c>
      <c r="H1781" s="1">
        <v>2.1527777777777778E-3</v>
      </c>
      <c r="I1781">
        <v>2016</v>
      </c>
      <c r="J1781" t="s">
        <v>7</v>
      </c>
      <c r="K1781" s="2" t="str">
        <f>HYPERLINK("https://www.nba.com/stats/events?CFID=&amp;CFPARAMS=&amp;GameEventID=329&amp;GameID=0021601056&amp;Season=2016-17&amp;flag=1&amp;title=Mills%201'%20Driving%20Layup%20(5%20PTS)%20(Leonard%204%20AST)", "Mills 1' Driving Layup (5 PTS) (Leonard 4 AST)")</f>
        <v>Mills 1' Driving Layup (5 PTS) (Leonard 4 AST)</v>
      </c>
      <c r="L1781" s="2" t="str">
        <f>HYPERLINK("https://www.nba.com/game/...-vs-...-0021601056/play-by-play?watchFullGame=true", "SAS vs MIN - Q3 03:06.00")</f>
        <v>SAS vs MIN - Q3 03:06.00</v>
      </c>
      <c r="M1781">
        <v>1</v>
      </c>
      <c r="N1781">
        <v>-1</v>
      </c>
      <c r="O1781">
        <v>-5</v>
      </c>
      <c r="P1781">
        <v>-1</v>
      </c>
      <c r="Q1781">
        <v>-5</v>
      </c>
      <c r="R1781" t="s">
        <v>0</v>
      </c>
      <c r="S1781" t="s">
        <v>0</v>
      </c>
      <c r="T1781" t="s">
        <v>0</v>
      </c>
    </row>
    <row r="1782" spans="1:20" x14ac:dyDescent="0.25">
      <c r="A1782">
        <v>21601099</v>
      </c>
      <c r="B1782" t="s">
        <v>10</v>
      </c>
      <c r="C1782" t="s">
        <v>9</v>
      </c>
      <c r="D1782">
        <v>9</v>
      </c>
      <c r="E1782">
        <v>8</v>
      </c>
      <c r="F1782">
        <v>1</v>
      </c>
      <c r="G1782">
        <v>1</v>
      </c>
      <c r="H1782" s="1">
        <v>4.9189814814814816E-3</v>
      </c>
      <c r="I1782">
        <v>2016</v>
      </c>
      <c r="J1782" t="s">
        <v>7</v>
      </c>
      <c r="K1782" s="2" t="str">
        <f>HYPERLINK("https://www.nba.com/stats/events?CFID=&amp;CFPARAMS=&amp;GameEventID=47&amp;GameID=0021601099&amp;Season=2016-17&amp;flag=1&amp;title=Gasol%2024'%203PT%20Jump%20Shot%20(3%20PTS)%20(Leonard%201%20AST)", "Gasol 24' 3PT Jump Shot (3 PTS) (Leonard 1 AST)")</f>
        <v>Gasol 24' 3PT Jump Shot (3 PTS) (Leonard 1 AST)</v>
      </c>
      <c r="L1782" s="2" t="str">
        <f>HYPERLINK("https://www.nba.com/game/...-vs-...-0021601099/play-by-play?watchFullGame=true", "SAS vs CLE - Q1 07:05.00")</f>
        <v>SAS vs CLE - Q1 07:05.00</v>
      </c>
      <c r="M1782">
        <v>24</v>
      </c>
      <c r="N1782">
        <v>135</v>
      </c>
      <c r="O1782">
        <v>198</v>
      </c>
      <c r="P1782">
        <v>135</v>
      </c>
      <c r="Q1782">
        <v>198</v>
      </c>
      <c r="R1782" t="s">
        <v>0</v>
      </c>
      <c r="S1782" t="s">
        <v>0</v>
      </c>
      <c r="T1782" t="s">
        <v>0</v>
      </c>
    </row>
    <row r="1783" spans="1:20" x14ac:dyDescent="0.25">
      <c r="A1783">
        <v>21601118</v>
      </c>
      <c r="B1783" t="s">
        <v>10</v>
      </c>
      <c r="C1783" t="s">
        <v>9</v>
      </c>
      <c r="D1783">
        <v>15</v>
      </c>
      <c r="E1783">
        <v>0</v>
      </c>
      <c r="F1783">
        <v>15</v>
      </c>
      <c r="G1783">
        <v>1</v>
      </c>
      <c r="H1783" s="1">
        <v>5.5324074074074078E-3</v>
      </c>
      <c r="I1783">
        <v>2016</v>
      </c>
      <c r="J1783" t="s">
        <v>7</v>
      </c>
      <c r="K1783" s="2" t="str">
        <f>HYPERLINK("https://www.nba.com/stats/events?CFID=&amp;CFPARAMS=&amp;GameEventID=40&amp;GameID=0021601118&amp;Season=2016-17&amp;flag=1&amp;title=Green%20%203PT%20Jump%20Shot%20(9%20PTS)%20(Leonard%201%20AST)", "Green  3PT Jump Shot (9 PTS) (Leonard 1 AST)")</f>
        <v>Green  3PT Jump Shot (9 PTS) (Leonard 1 AST)</v>
      </c>
      <c r="L1783" s="2" t="str">
        <f>HYPERLINK("https://www.nba.com/game/...-vs-...-0021601118/play-by-play?watchFullGame=true", "SAS vs GSW - Q1 07:58.00")</f>
        <v>SAS vs GSW - Q1 07:58.00</v>
      </c>
      <c r="M1783">
        <v>0</v>
      </c>
      <c r="N1783">
        <v>232</v>
      </c>
      <c r="O1783">
        <v>-1</v>
      </c>
      <c r="P1783">
        <v>232</v>
      </c>
      <c r="Q1783">
        <v>-1</v>
      </c>
      <c r="R1783" t="s">
        <v>0</v>
      </c>
      <c r="S1783" t="s">
        <v>0</v>
      </c>
      <c r="T1783" t="s">
        <v>0</v>
      </c>
    </row>
    <row r="1784" spans="1:20" x14ac:dyDescent="0.25">
      <c r="A1784">
        <v>21601151</v>
      </c>
      <c r="B1784" t="s">
        <v>4</v>
      </c>
      <c r="C1784" t="s">
        <v>28</v>
      </c>
      <c r="D1784">
        <v>13</v>
      </c>
      <c r="E1784">
        <v>9</v>
      </c>
      <c r="F1784">
        <v>4</v>
      </c>
      <c r="G1784">
        <v>1</v>
      </c>
      <c r="H1784" s="1">
        <v>4.8958333333333336E-3</v>
      </c>
      <c r="I1784">
        <v>2016</v>
      </c>
      <c r="J1784" t="s">
        <v>7</v>
      </c>
      <c r="K1784" s="2" t="str">
        <f>HYPERLINK("https://www.nba.com/stats/events?CFID=&amp;CFPARAMS=&amp;GameEventID=28&amp;GameID=0021601151&amp;Season=2016-17&amp;flag=1&amp;title=Parker%201'%20Driving%20Finger%20Roll%20Layup%20(4%20PTS)%20(Leonard%203%20AST)", "Parker 1' Driving Finger Roll Layup (4 PTS) (Leonard 3 AST)")</f>
        <v>Parker 1' Driving Finger Roll Layup (4 PTS) (Leonard 3 AST)</v>
      </c>
      <c r="L1784" s="2" t="str">
        <f>HYPERLINK("https://www.nba.com/game/...-vs-...-0021601151/play-by-play?watchFullGame=true", "SAS vs UTA - Q1 07:03.00")</f>
        <v>SAS vs UTA - Q1 07:03.00</v>
      </c>
      <c r="M1784">
        <v>1</v>
      </c>
      <c r="N1784">
        <v>10</v>
      </c>
      <c r="O1784">
        <v>0</v>
      </c>
      <c r="P1784">
        <v>10</v>
      </c>
      <c r="Q1784">
        <v>0</v>
      </c>
      <c r="R1784" t="s">
        <v>0</v>
      </c>
      <c r="S1784" t="s">
        <v>0</v>
      </c>
      <c r="T1784" t="s">
        <v>0</v>
      </c>
    </row>
    <row r="1785" spans="1:20" x14ac:dyDescent="0.25">
      <c r="A1785">
        <v>21500502</v>
      </c>
      <c r="B1785" t="s">
        <v>10</v>
      </c>
      <c r="C1785" t="s">
        <v>9</v>
      </c>
      <c r="D1785">
        <v>42</v>
      </c>
      <c r="E1785">
        <v>39</v>
      </c>
      <c r="F1785">
        <v>3</v>
      </c>
      <c r="G1785">
        <v>2</v>
      </c>
      <c r="H1785" s="1">
        <v>4.2939814814814811E-3</v>
      </c>
      <c r="I1785">
        <v>2015</v>
      </c>
      <c r="J1785" t="s">
        <v>7</v>
      </c>
      <c r="K1785" s="2" t="str">
        <f>HYPERLINK("https://www.nba.com/stats/events?CFID=&amp;CFPARAMS=&amp;GameEventID=197&amp;GameID=0021500502&amp;Season=2015-16&amp;flag=1&amp;title=Diaw%2026'%203PT%20Jump%20Shot%20(5%20PTS)%20(Leonard%201%20AST)", "Diaw 26' 3PT Jump Shot (5 PTS) (Leonard 1 AST)")</f>
        <v>Diaw 26' 3PT Jump Shot (5 PTS) (Leonard 1 AST)</v>
      </c>
      <c r="L1785" s="2" t="str">
        <f>HYPERLINK("https://www.nba.com/game/...-vs-...-0021500502/play-by-play?watchFullGame=true", "SAS vs HOU - Q2 06:11.00")</f>
        <v>SAS vs HOU - Q2 06:11.00</v>
      </c>
      <c r="M1785">
        <v>26</v>
      </c>
      <c r="N1785">
        <v>-140</v>
      </c>
      <c r="O1785">
        <v>218</v>
      </c>
      <c r="P1785">
        <v>-140</v>
      </c>
      <c r="Q1785">
        <v>218</v>
      </c>
      <c r="R1785" t="s">
        <v>0</v>
      </c>
      <c r="S1785" t="s">
        <v>0</v>
      </c>
      <c r="T1785" t="s">
        <v>0</v>
      </c>
    </row>
    <row r="1786" spans="1:20" x14ac:dyDescent="0.25">
      <c r="A1786">
        <v>21500590</v>
      </c>
      <c r="B1786" t="s">
        <v>4</v>
      </c>
      <c r="C1786" t="s">
        <v>17</v>
      </c>
      <c r="D1786">
        <v>61</v>
      </c>
      <c r="E1786">
        <v>59</v>
      </c>
      <c r="F1786">
        <v>2</v>
      </c>
      <c r="G1786">
        <v>3</v>
      </c>
      <c r="H1786" s="1">
        <v>4.4444444444444444E-3</v>
      </c>
      <c r="I1786">
        <v>2015</v>
      </c>
      <c r="J1786" t="s">
        <v>7</v>
      </c>
      <c r="K1786" s="2" t="str">
        <f>HYPERLINK("https://www.nba.com/stats/events?CFID=&amp;CFPARAMS=&amp;GameEventID=293&amp;GameID=0021500590&amp;Season=2015-16&amp;flag=1&amp;title=Simmons%206'%20Floating%20Jump%20Shot%20(2%20PTS)%20(Leonard%205%20AST)", "Simmons 6' Floating Jump Shot (2 PTS) (Leonard 5 AST)")</f>
        <v>Simmons 6' Floating Jump Shot (2 PTS) (Leonard 5 AST)</v>
      </c>
      <c r="L1786" s="2" t="str">
        <f>HYPERLINK("https://www.nba.com/game/...-vs-...-0021500590/play-by-play?watchFullGame=true", "SAS vs CLE - Q3 06:24.00")</f>
        <v>SAS vs CLE - Q3 06:24.00</v>
      </c>
      <c r="M1786">
        <v>6</v>
      </c>
      <c r="N1786">
        <v>28</v>
      </c>
      <c r="O1786">
        <v>51</v>
      </c>
      <c r="P1786">
        <v>28</v>
      </c>
      <c r="Q1786">
        <v>51</v>
      </c>
      <c r="R1786" t="s">
        <v>0</v>
      </c>
      <c r="S1786" t="s">
        <v>0</v>
      </c>
      <c r="T1786" t="s">
        <v>0</v>
      </c>
    </row>
    <row r="1787" spans="1:20" x14ac:dyDescent="0.25">
      <c r="A1787">
        <v>21500860</v>
      </c>
      <c r="B1787" t="s">
        <v>4</v>
      </c>
      <c r="C1787" t="s">
        <v>9</v>
      </c>
      <c r="D1787">
        <v>26</v>
      </c>
      <c r="E1787">
        <v>31</v>
      </c>
      <c r="F1787">
        <v>5</v>
      </c>
      <c r="G1787">
        <v>2</v>
      </c>
      <c r="H1787" s="1">
        <v>3.6574074074074074E-3</v>
      </c>
      <c r="I1787">
        <v>2015</v>
      </c>
      <c r="J1787" t="s">
        <v>7</v>
      </c>
      <c r="K1787" s="2" t="str">
        <f>HYPERLINK("https://www.nba.com/stats/events?CFID=&amp;CFPARAMS=&amp;GameEventID=170&amp;GameID=0021500860&amp;Season=2015-16&amp;flag=1&amp;title=West%2017'%20Jump%20Shot%20(4%20PTS)%20(Leonard%201%20AST)", "West 17' Jump Shot (4 PTS) (Leonard 1 AST)")</f>
        <v>West 17' Jump Shot (4 PTS) (Leonard 1 AST)</v>
      </c>
      <c r="L1787" s="2" t="str">
        <f>HYPERLINK("https://www.nba.com/game/...-vs-...-0021500860/play-by-play?watchFullGame=true", "SAS vs UTA - Q2 05:16.00")</f>
        <v>SAS vs UTA - Q2 05:16.00</v>
      </c>
      <c r="M1787">
        <v>17</v>
      </c>
      <c r="N1787">
        <v>32</v>
      </c>
      <c r="O1787">
        <v>170</v>
      </c>
      <c r="P1787">
        <v>32</v>
      </c>
      <c r="Q1787">
        <v>170</v>
      </c>
      <c r="R1787" t="s">
        <v>0</v>
      </c>
      <c r="S1787" t="s">
        <v>0</v>
      </c>
      <c r="T1787" t="s">
        <v>0</v>
      </c>
    </row>
    <row r="1788" spans="1:20" x14ac:dyDescent="0.25">
      <c r="A1788">
        <v>21500899</v>
      </c>
      <c r="B1788" t="s">
        <v>10</v>
      </c>
      <c r="C1788" t="s">
        <v>9</v>
      </c>
      <c r="D1788">
        <v>73</v>
      </c>
      <c r="E1788">
        <v>95</v>
      </c>
      <c r="F1788">
        <v>22</v>
      </c>
      <c r="G1788">
        <v>4</v>
      </c>
      <c r="H1788" s="1">
        <v>6.9675925925925929E-3</v>
      </c>
      <c r="I1788">
        <v>2015</v>
      </c>
      <c r="J1788" t="s">
        <v>12</v>
      </c>
      <c r="K1788" s="2" t="str">
        <f>HYPERLINK("https://www.nba.com/stats/events?CFID=&amp;CFPARAMS=&amp;GameEventID=425&amp;GameID=0021500899&amp;Season=2015-16&amp;flag=1&amp;title=Lillard%2028'%203PT%20Jump%20Shot%20(20%20PTS)%20(Leonard%202%20AST)", "Lillard 28' 3PT Jump Shot (20 PTS) (Leonard 2 AST)")</f>
        <v>Lillard 28' 3PT Jump Shot (20 PTS) (Leonard 2 AST)</v>
      </c>
      <c r="L1788" s="2" t="str">
        <f>HYPERLINK("https://www.nba.com/game/...-vs-...-0021500899/play-by-play?watchFullGame=true", "POR vs BOS - Q4 10:02.00")</f>
        <v>POR vs BOS - Q4 10:02.00</v>
      </c>
      <c r="M1788">
        <v>28</v>
      </c>
      <c r="N1788">
        <v>-197</v>
      </c>
      <c r="O1788">
        <v>198</v>
      </c>
      <c r="P1788">
        <v>-197</v>
      </c>
      <c r="Q1788">
        <v>198</v>
      </c>
      <c r="R1788" t="s">
        <v>0</v>
      </c>
      <c r="S1788" t="s">
        <v>0</v>
      </c>
      <c r="T1788" t="s">
        <v>0</v>
      </c>
    </row>
    <row r="1789" spans="1:20" x14ac:dyDescent="0.25">
      <c r="A1789">
        <v>21500909</v>
      </c>
      <c r="B1789" t="s">
        <v>10</v>
      </c>
      <c r="C1789" t="s">
        <v>9</v>
      </c>
      <c r="D1789">
        <v>91</v>
      </c>
      <c r="E1789">
        <v>86</v>
      </c>
      <c r="F1789">
        <v>5</v>
      </c>
      <c r="G1789">
        <v>4</v>
      </c>
      <c r="H1789" s="1">
        <v>9.3749999999999997E-4</v>
      </c>
      <c r="I1789">
        <v>2015</v>
      </c>
      <c r="J1789" t="s">
        <v>7</v>
      </c>
      <c r="K1789" s="2" t="str">
        <f>HYPERLINK("https://www.nba.com/stats/events?CFID=&amp;CFPARAMS=&amp;GameEventID=455&amp;GameID=0021500909&amp;Season=2015-16&amp;flag=1&amp;title=Mills%2026'%203PT%20Jump%20Shot%20(9%20PTS)%20(Leonard%203%20AST)", "Mills 26' 3PT Jump Shot (9 PTS) (Leonard 3 AST)")</f>
        <v>Mills 26' 3PT Jump Shot (9 PTS) (Leonard 3 AST)</v>
      </c>
      <c r="L1789" s="2" t="str">
        <f>HYPERLINK("https://www.nba.com/game/...-vs-...-0021500909/play-by-play?watchFullGame=true", "SAS vs NOP - Q4 01:21.00")</f>
        <v>SAS vs NOP - Q4 01:21.00</v>
      </c>
      <c r="M1789">
        <v>26</v>
      </c>
      <c r="N1789">
        <v>4</v>
      </c>
      <c r="O1789">
        <v>262</v>
      </c>
      <c r="P1789">
        <v>4</v>
      </c>
      <c r="Q1789">
        <v>262</v>
      </c>
      <c r="R1789" t="s">
        <v>0</v>
      </c>
      <c r="S1789" t="s">
        <v>0</v>
      </c>
      <c r="T1789" t="s">
        <v>0</v>
      </c>
    </row>
    <row r="1790" spans="1:20" x14ac:dyDescent="0.25">
      <c r="A1790">
        <v>21500982</v>
      </c>
      <c r="B1790" t="s">
        <v>10</v>
      </c>
      <c r="C1790" t="s">
        <v>9</v>
      </c>
      <c r="D1790">
        <v>85</v>
      </c>
      <c r="E1790">
        <v>64</v>
      </c>
      <c r="F1790">
        <v>21</v>
      </c>
      <c r="G1790">
        <v>3</v>
      </c>
      <c r="H1790" s="1">
        <v>9.6064814814814819E-4</v>
      </c>
      <c r="I1790">
        <v>2015</v>
      </c>
      <c r="J1790" t="s">
        <v>12</v>
      </c>
      <c r="K1790" s="2" t="str">
        <f>HYPERLINK("https://www.nba.com/stats/events?CFID=&amp;CFPARAMS=&amp;GameEventID=316&amp;GameID=0021500982&amp;Season=2015-16&amp;flag=1&amp;title=Henderson%2024'%203PT%20Jump%20Shot%20(11%20PTS)%20(Leonard%204%20AST)", "Henderson 24' 3PT Jump Shot (11 PTS) (Leonard 4 AST)")</f>
        <v>Henderson 24' 3PT Jump Shot (11 PTS) (Leonard 4 AST)</v>
      </c>
      <c r="L1790" s="2" t="str">
        <f>HYPERLINK("https://www.nba.com/game/...-vs-...-0021500982/play-by-play?watchFullGame=true", "POR vs ORL - Q3 01:23.00")</f>
        <v>POR vs ORL - Q3 01:23.00</v>
      </c>
      <c r="M1790">
        <v>24</v>
      </c>
      <c r="N1790">
        <v>184</v>
      </c>
      <c r="O1790">
        <v>159</v>
      </c>
      <c r="P1790">
        <v>184</v>
      </c>
      <c r="Q1790">
        <v>159</v>
      </c>
      <c r="R1790" t="s">
        <v>0</v>
      </c>
      <c r="S1790" t="s">
        <v>0</v>
      </c>
      <c r="T1790" t="s">
        <v>0</v>
      </c>
    </row>
    <row r="1791" spans="1:20" x14ac:dyDescent="0.25">
      <c r="A1791">
        <v>21501118</v>
      </c>
      <c r="B1791" t="s">
        <v>10</v>
      </c>
      <c r="C1791" t="s">
        <v>9</v>
      </c>
      <c r="D1791">
        <v>44</v>
      </c>
      <c r="E1791">
        <v>39</v>
      </c>
      <c r="F1791">
        <v>5</v>
      </c>
      <c r="G1791">
        <v>2</v>
      </c>
      <c r="H1791" s="1">
        <v>3.9236111111111107E-4</v>
      </c>
      <c r="I1791">
        <v>2015</v>
      </c>
      <c r="J1791" t="s">
        <v>7</v>
      </c>
      <c r="K1791" s="2" t="str">
        <f>HYPERLINK("https://www.nba.com/stats/events?CFID=&amp;CFPARAMS=&amp;GameEventID=228&amp;GameID=0021501118&amp;Season=2015-16&amp;flag=1&amp;title=Ginobili%2025'%203PT%20Jump%20Shot%20(11%20PTS)%20(Leonard%204%20AST)", "Ginobili 25' 3PT Jump Shot (11 PTS) (Leonard 4 AST)")</f>
        <v>Ginobili 25' 3PT Jump Shot (11 PTS) (Leonard 4 AST)</v>
      </c>
      <c r="L1791" s="2" t="str">
        <f>HYPERLINK("https://www.nba.com/game/...-vs-...-0021501118/play-by-play?watchFullGame=true", "SAS vs NOP - Q2 00:33.90")</f>
        <v>SAS vs NOP - Q2 00:33.90</v>
      </c>
      <c r="M1791">
        <v>25</v>
      </c>
      <c r="N1791">
        <v>115</v>
      </c>
      <c r="O1791">
        <v>218</v>
      </c>
      <c r="P1791">
        <v>115</v>
      </c>
      <c r="Q1791">
        <v>218</v>
      </c>
      <c r="R1791" t="s">
        <v>0</v>
      </c>
      <c r="S1791" t="s">
        <v>0</v>
      </c>
      <c r="T1791" t="s">
        <v>0</v>
      </c>
    </row>
    <row r="1792" spans="1:20" x14ac:dyDescent="0.25">
      <c r="A1792">
        <v>21501177</v>
      </c>
      <c r="B1792" t="s">
        <v>10</v>
      </c>
      <c r="C1792" t="s">
        <v>19</v>
      </c>
      <c r="D1792">
        <v>13</v>
      </c>
      <c r="E1792">
        <v>13</v>
      </c>
      <c r="F1792">
        <v>0</v>
      </c>
      <c r="G1792">
        <v>1</v>
      </c>
      <c r="H1792" s="1">
        <v>2.650462962962963E-3</v>
      </c>
      <c r="I1792">
        <v>2015</v>
      </c>
      <c r="J1792" t="s">
        <v>7</v>
      </c>
      <c r="K1792" s="2" t="str">
        <f>HYPERLINK("https://www.nba.com/stats/events?CFID=&amp;CFPARAMS=&amp;GameEventID=61&amp;GameID=0021501177&amp;Season=2015-16&amp;flag=1&amp;title=Green%2025'%203PT%20Pullup%20Jump%20Shot%20(3%20PTS)%20(Leonard%202%20AST)", "Green 25' 3PT Pullup Jump Shot (3 PTS) (Leonard 2 AST)")</f>
        <v>Green 25' 3PT Pullup Jump Shot (3 PTS) (Leonard 2 AST)</v>
      </c>
      <c r="L1792" s="2" t="str">
        <f>HYPERLINK("https://www.nba.com/game/...-vs-...-0021501177/play-by-play?watchFullGame=true", "SAS vs GSW - Q1 03:49.00")</f>
        <v>SAS vs GSW - Q1 03:49.00</v>
      </c>
      <c r="M1792">
        <v>25</v>
      </c>
      <c r="N1792">
        <v>151</v>
      </c>
      <c r="O1792">
        <v>205</v>
      </c>
      <c r="P1792">
        <v>151</v>
      </c>
      <c r="Q1792">
        <v>205</v>
      </c>
      <c r="R1792" t="s">
        <v>0</v>
      </c>
      <c r="S1792" t="s">
        <v>0</v>
      </c>
      <c r="T1792" t="s">
        <v>0</v>
      </c>
    </row>
    <row r="1793" spans="1:20" x14ac:dyDescent="0.25">
      <c r="A1793">
        <v>21500366</v>
      </c>
      <c r="B1793" t="s">
        <v>4</v>
      </c>
      <c r="C1793" t="s">
        <v>18</v>
      </c>
      <c r="D1793">
        <v>75</v>
      </c>
      <c r="E1793">
        <v>69</v>
      </c>
      <c r="F1793">
        <v>6</v>
      </c>
      <c r="G1793">
        <v>3</v>
      </c>
      <c r="H1793" s="1">
        <v>7.5231481481481482E-4</v>
      </c>
      <c r="I1793">
        <v>2015</v>
      </c>
      <c r="J1793" t="s">
        <v>12</v>
      </c>
      <c r="K1793" s="2" t="str">
        <f>HYPERLINK("https://www.nba.com/stats/events?CFID=&amp;CFPARAMS=&amp;GameEventID=400&amp;GameID=0021500366&amp;Season=2015-16&amp;flag=1&amp;title=Davis%204'%20Hook%20Shot%20(4%20PTS)%20(Leonard%203%20AST)", "Davis 4' Hook Shot (4 PTS) (Leonard 3 AST)")</f>
        <v>Davis 4' Hook Shot (4 PTS) (Leonard 3 AST)</v>
      </c>
      <c r="L1793" s="2" t="str">
        <f>HYPERLINK("https://www.nba.com/game/...-vs-...-0021500366/play-by-play?watchFullGame=true", "POR vs NOP - Q3 01:05.00")</f>
        <v>POR vs NOP - Q3 01:05.00</v>
      </c>
      <c r="M1793">
        <v>4</v>
      </c>
      <c r="N1793">
        <v>-1</v>
      </c>
      <c r="O1793">
        <v>43</v>
      </c>
      <c r="P1793">
        <v>-1</v>
      </c>
      <c r="Q1793">
        <v>43</v>
      </c>
      <c r="R1793" t="s">
        <v>0</v>
      </c>
      <c r="S1793" t="s">
        <v>0</v>
      </c>
      <c r="T1793" t="s">
        <v>0</v>
      </c>
    </row>
    <row r="1794" spans="1:20" x14ac:dyDescent="0.25">
      <c r="A1794">
        <v>21500465</v>
      </c>
      <c r="B1794" t="s">
        <v>4</v>
      </c>
      <c r="C1794" t="s">
        <v>9</v>
      </c>
      <c r="D1794">
        <v>10</v>
      </c>
      <c r="E1794">
        <v>20</v>
      </c>
      <c r="F1794">
        <v>10</v>
      </c>
      <c r="G1794">
        <v>1</v>
      </c>
      <c r="H1794" s="1">
        <v>3.9004629629629628E-3</v>
      </c>
      <c r="I1794">
        <v>2015</v>
      </c>
      <c r="J1794" t="s">
        <v>7</v>
      </c>
      <c r="K1794" s="2" t="str">
        <f>HYPERLINK("https://www.nba.com/stats/events?CFID=&amp;CFPARAMS=&amp;GameEventID=54&amp;GameID=0021500465&amp;Season=2015-16&amp;flag=1&amp;title=West%2017'%20Jump%20Shot%20(4%20PTS)%20(Leonard%202%20AST)", "West 17' Jump Shot (4 PTS) (Leonard 2 AST)")</f>
        <v>West 17' Jump Shot (4 PTS) (Leonard 2 AST)</v>
      </c>
      <c r="L1794" s="2" t="str">
        <f>HYPERLINK("https://www.nba.com/game/...-vs-...-0021500465/play-by-play?watchFullGame=true", "SAS vs MIN - Q1 05:37.00")</f>
        <v>SAS vs MIN - Q1 05:37.00</v>
      </c>
      <c r="M1794">
        <v>17</v>
      </c>
      <c r="N1794">
        <v>112</v>
      </c>
      <c r="O1794">
        <v>124</v>
      </c>
      <c r="P1794">
        <v>112</v>
      </c>
      <c r="Q1794">
        <v>124</v>
      </c>
      <c r="R1794" t="s">
        <v>0</v>
      </c>
      <c r="S1794" t="s">
        <v>0</v>
      </c>
      <c r="T1794" t="s">
        <v>0</v>
      </c>
    </row>
    <row r="1795" spans="1:20" x14ac:dyDescent="0.25">
      <c r="A1795">
        <v>21500570</v>
      </c>
      <c r="B1795" t="s">
        <v>10</v>
      </c>
      <c r="C1795" t="s">
        <v>9</v>
      </c>
      <c r="D1795">
        <v>9</v>
      </c>
      <c r="E1795">
        <v>13</v>
      </c>
      <c r="F1795">
        <v>4</v>
      </c>
      <c r="G1795">
        <v>1</v>
      </c>
      <c r="H1795" s="1">
        <v>5.0694444444444441E-3</v>
      </c>
      <c r="I1795">
        <v>2015</v>
      </c>
      <c r="J1795" t="s">
        <v>7</v>
      </c>
      <c r="K1795" s="2" t="str">
        <f>HYPERLINK("https://www.nba.com/stats/events?CFID=&amp;CFPARAMS=&amp;GameEventID=38&amp;GameID=0021500570&amp;Season=2015-16&amp;flag=1&amp;title=Green%2025'%203PT%20Jump%20Shot%20(3%20PTS)%20(Leonard%201%20AST)", "Green 25' 3PT Jump Shot (3 PTS) (Leonard 1 AST)")</f>
        <v>Green 25' 3PT Jump Shot (3 PTS) (Leonard 1 AST)</v>
      </c>
      <c r="L1795" s="2" t="str">
        <f>HYPERLINK("https://www.nba.com/game/...-vs-...-0021500570/play-by-play?watchFullGame=true", "SAS vs DET - Q1 07:18.00")</f>
        <v>SAS vs DET - Q1 07:18.00</v>
      </c>
      <c r="M1795">
        <v>25</v>
      </c>
      <c r="N1795">
        <v>-102</v>
      </c>
      <c r="O1795">
        <v>232</v>
      </c>
      <c r="P1795">
        <v>-102</v>
      </c>
      <c r="Q1795">
        <v>232</v>
      </c>
      <c r="R1795" t="s">
        <v>0</v>
      </c>
      <c r="S1795" t="s">
        <v>0</v>
      </c>
      <c r="T1795" t="s">
        <v>0</v>
      </c>
    </row>
    <row r="1796" spans="1:20" x14ac:dyDescent="0.25">
      <c r="A1796">
        <v>21500590</v>
      </c>
      <c r="B1796" t="s">
        <v>4</v>
      </c>
      <c r="C1796" t="s">
        <v>17</v>
      </c>
      <c r="D1796">
        <v>46</v>
      </c>
      <c r="E1796">
        <v>52</v>
      </c>
      <c r="F1796">
        <v>6</v>
      </c>
      <c r="G1796">
        <v>3</v>
      </c>
      <c r="H1796" s="1">
        <v>7.2453703703703708E-3</v>
      </c>
      <c r="I1796">
        <v>2015</v>
      </c>
      <c r="J1796" t="s">
        <v>7</v>
      </c>
      <c r="K1796" s="2" t="str">
        <f>HYPERLINK("https://www.nba.com/stats/events?CFID=&amp;CFPARAMS=&amp;GameEventID=255&amp;GameID=0021500590&amp;Season=2015-16&amp;flag=1&amp;title=Parker%205'%20Floating%20Jump%20Shot%20(20%20PTS)%20(Leonard%203%20AST)", "Parker 5' Floating Jump Shot (20 PTS) (Leonard 3 AST)")</f>
        <v>Parker 5' Floating Jump Shot (20 PTS) (Leonard 3 AST)</v>
      </c>
      <c r="L1796" s="2" t="str">
        <f>HYPERLINK("https://www.nba.com/game/...-vs-...-0021500590/play-by-play?watchFullGame=true", "SAS vs CLE - Q3 10:26.00")</f>
        <v>SAS vs CLE - Q3 10:26.00</v>
      </c>
      <c r="M1796">
        <v>5</v>
      </c>
      <c r="N1796">
        <v>12</v>
      </c>
      <c r="O1796">
        <v>46</v>
      </c>
      <c r="P1796">
        <v>12</v>
      </c>
      <c r="Q1796">
        <v>46</v>
      </c>
      <c r="R1796" t="s">
        <v>0</v>
      </c>
      <c r="S1796" t="s">
        <v>0</v>
      </c>
      <c r="T1796" t="s">
        <v>0</v>
      </c>
    </row>
    <row r="1797" spans="1:20" x14ac:dyDescent="0.25">
      <c r="A1797">
        <v>21500760</v>
      </c>
      <c r="B1797" t="s">
        <v>10</v>
      </c>
      <c r="C1797" t="s">
        <v>9</v>
      </c>
      <c r="D1797">
        <v>20</v>
      </c>
      <c r="E1797">
        <v>13</v>
      </c>
      <c r="F1797">
        <v>7</v>
      </c>
      <c r="G1797">
        <v>1</v>
      </c>
      <c r="H1797" s="1">
        <v>3.8425925925925928E-3</v>
      </c>
      <c r="I1797">
        <v>2015</v>
      </c>
      <c r="J1797" t="s">
        <v>12</v>
      </c>
      <c r="K1797" s="2" t="str">
        <f>HYPERLINK("https://www.nba.com/stats/events?CFID=&amp;CFPARAMS=&amp;GameEventID=58&amp;GameID=0021500760&amp;Season=2015-16&amp;flag=1&amp;title=Lillard%2026'%203PT%20Jump%20Shot%20(3%20PTS)%20(Leonard%201%20AST)", "Lillard 26' 3PT Jump Shot (3 PTS) (Leonard 1 AST)")</f>
        <v>Lillard 26' 3PT Jump Shot (3 PTS) (Leonard 1 AST)</v>
      </c>
      <c r="L1797" s="2" t="str">
        <f>HYPERLINK("https://www.nba.com/game/...-vs-...-0021500760/play-by-play?watchFullGame=true", "POR vs HOU - Q1 05:32.00")</f>
        <v>POR vs HOU - Q1 05:32.00</v>
      </c>
      <c r="M1797">
        <v>26</v>
      </c>
      <c r="N1797">
        <v>-6</v>
      </c>
      <c r="O1797">
        <v>257</v>
      </c>
      <c r="P1797">
        <v>-6</v>
      </c>
      <c r="Q1797">
        <v>257</v>
      </c>
      <c r="R1797" t="s">
        <v>0</v>
      </c>
      <c r="S1797" t="s">
        <v>0</v>
      </c>
      <c r="T1797" t="s">
        <v>0</v>
      </c>
    </row>
    <row r="1798" spans="1:20" x14ac:dyDescent="0.25">
      <c r="A1798">
        <v>21500784</v>
      </c>
      <c r="B1798" t="s">
        <v>4</v>
      </c>
      <c r="C1798" t="s">
        <v>16</v>
      </c>
      <c r="D1798">
        <v>46</v>
      </c>
      <c r="E1798">
        <v>43</v>
      </c>
      <c r="F1798">
        <v>3</v>
      </c>
      <c r="G1798">
        <v>2</v>
      </c>
      <c r="H1798" s="1">
        <v>2.2222222222222222E-3</v>
      </c>
      <c r="I1798">
        <v>2015</v>
      </c>
      <c r="J1798" t="s">
        <v>7</v>
      </c>
      <c r="K1798" s="2" t="str">
        <f>HYPERLINK("https://www.nba.com/stats/events?CFID=&amp;CFPARAMS=&amp;GameEventID=218&amp;GameID=0021500784&amp;Season=2015-16&amp;flag=1&amp;title=Simmons%20%20Running%20Dunk%20(6%20PTS)%20(Leonard%202%20AST)", "Simmons  Running Dunk (6 PTS) (Leonard 2 AST)")</f>
        <v>Simmons  Running Dunk (6 PTS) (Leonard 2 AST)</v>
      </c>
      <c r="L1798" s="2" t="str">
        <f>HYPERLINK("https://www.nba.com/game/...-vs-...-0021500784/play-by-play?watchFullGame=true", "SAS vs MIA - Q2 03:12.00")</f>
        <v>SAS vs MIA - Q2 03:12.00</v>
      </c>
      <c r="M1798">
        <v>0</v>
      </c>
      <c r="N1798">
        <v>0</v>
      </c>
      <c r="O1798">
        <v>1</v>
      </c>
      <c r="P1798">
        <v>0</v>
      </c>
      <c r="Q1798">
        <v>1</v>
      </c>
      <c r="R1798" t="s">
        <v>0</v>
      </c>
      <c r="S1798" t="s">
        <v>0</v>
      </c>
      <c r="T1798" t="s">
        <v>0</v>
      </c>
    </row>
    <row r="1799" spans="1:20" x14ac:dyDescent="0.25">
      <c r="A1799">
        <v>21500899</v>
      </c>
      <c r="B1799" t="s">
        <v>4</v>
      </c>
      <c r="C1799" t="s">
        <v>20</v>
      </c>
      <c r="D1799">
        <v>67</v>
      </c>
      <c r="E1799">
        <v>91</v>
      </c>
      <c r="F1799">
        <v>24</v>
      </c>
      <c r="G1799">
        <v>3</v>
      </c>
      <c r="H1799" s="1">
        <v>5.3356481481481484E-4</v>
      </c>
      <c r="I1799">
        <v>2015</v>
      </c>
      <c r="J1799" t="s">
        <v>12</v>
      </c>
      <c r="K1799" s="2" t="str">
        <f>HYPERLINK("https://www.nba.com/stats/events?CFID=&amp;CFPARAMS=&amp;GameEventID=398&amp;GameID=0021500899&amp;Season=2015-16&amp;flag=1&amp;title=Crabbe%201'%20Cutting%20Layup%20Shot%20(5%20PTS)%20(Leonard%201%20AST)", "Crabbe 1' Cutting Layup Shot (5 PTS) (Leonard 1 AST)")</f>
        <v>Crabbe 1' Cutting Layup Shot (5 PTS) (Leonard 1 AST)</v>
      </c>
      <c r="L1799" s="2" t="str">
        <f>HYPERLINK("https://www.nba.com/game/...-vs-...-0021500899/play-by-play?watchFullGame=true", "POR vs BOS - Q3 00:46.10")</f>
        <v>POR vs BOS - Q3 00:46.10</v>
      </c>
      <c r="M1799">
        <v>1</v>
      </c>
      <c r="N1799">
        <v>1</v>
      </c>
      <c r="O1799">
        <v>7</v>
      </c>
      <c r="P1799">
        <v>1</v>
      </c>
      <c r="Q1799">
        <v>7</v>
      </c>
      <c r="R1799" t="s">
        <v>0</v>
      </c>
      <c r="S1799" t="s">
        <v>0</v>
      </c>
      <c r="T1799" t="s">
        <v>0</v>
      </c>
    </row>
    <row r="1800" spans="1:20" x14ac:dyDescent="0.25">
      <c r="A1800">
        <v>21501001</v>
      </c>
      <c r="B1800" t="s">
        <v>10</v>
      </c>
      <c r="C1800" t="s">
        <v>9</v>
      </c>
      <c r="D1800">
        <v>89</v>
      </c>
      <c r="E1800">
        <v>77</v>
      </c>
      <c r="F1800">
        <v>12</v>
      </c>
      <c r="G1800">
        <v>4</v>
      </c>
      <c r="H1800" s="1">
        <v>4.6874999999999998E-3</v>
      </c>
      <c r="I1800">
        <v>2015</v>
      </c>
      <c r="J1800" t="s">
        <v>7</v>
      </c>
      <c r="K1800" s="2" t="str">
        <f>HYPERLINK("https://www.nba.com/stats/events?CFID=&amp;CFPARAMS=&amp;GameEventID=407&amp;GameID=0021501001&amp;Season=2015-16&amp;flag=1&amp;title=Green%20%203PT%20Jump%20Shot%20(9%20PTS)%20(Leonard%204%20AST)", "Green  3PT Jump Shot (9 PTS) (Leonard 4 AST)")</f>
        <v>Green  3PT Jump Shot (9 PTS) (Leonard 4 AST)</v>
      </c>
      <c r="L1800" s="2" t="str">
        <f>HYPERLINK("https://www.nba.com/game/...-vs-...-0021501001/play-by-play?watchFullGame=true", "SAS vs LAC - Q4 06:45.00")</f>
        <v>SAS vs LAC - Q4 06:45.00</v>
      </c>
      <c r="M1800">
        <v>0</v>
      </c>
      <c r="N1800">
        <v>228</v>
      </c>
      <c r="O1800">
        <v>43</v>
      </c>
      <c r="P1800">
        <v>228</v>
      </c>
      <c r="Q1800">
        <v>43</v>
      </c>
      <c r="R1800" t="s">
        <v>0</v>
      </c>
      <c r="S1800" t="s">
        <v>0</v>
      </c>
      <c r="T1800" t="s">
        <v>0</v>
      </c>
    </row>
    <row r="1801" spans="1:20" x14ac:dyDescent="0.25">
      <c r="A1801">
        <v>21500465</v>
      </c>
      <c r="B1801" t="s">
        <v>4</v>
      </c>
      <c r="C1801" t="s">
        <v>9</v>
      </c>
      <c r="D1801">
        <v>8</v>
      </c>
      <c r="E1801">
        <v>18</v>
      </c>
      <c r="F1801">
        <v>10</v>
      </c>
      <c r="G1801">
        <v>1</v>
      </c>
      <c r="H1801" s="1">
        <v>4.31712962962963E-3</v>
      </c>
      <c r="I1801">
        <v>2015</v>
      </c>
      <c r="J1801" t="s">
        <v>7</v>
      </c>
      <c r="K1801" s="2" t="str">
        <f>HYPERLINK("https://www.nba.com/stats/events?CFID=&amp;CFPARAMS=&amp;GameEventID=52&amp;GameID=0021500465&amp;Season=2015-16&amp;flag=1&amp;title=West%2016'%20Jump%20Shot%20(2%20PTS)%20(Leonard%201%20AST)", "West 16' Jump Shot (2 PTS) (Leonard 1 AST)")</f>
        <v>West 16' Jump Shot (2 PTS) (Leonard 1 AST)</v>
      </c>
      <c r="L1801" s="2" t="str">
        <f>HYPERLINK("https://www.nba.com/game/...-vs-...-0021500465/play-by-play?watchFullGame=true", "SAS vs MIN - Q1 06:13.00")</f>
        <v>SAS vs MIN - Q1 06:13.00</v>
      </c>
      <c r="M1801">
        <v>16</v>
      </c>
      <c r="N1801">
        <v>99</v>
      </c>
      <c r="O1801">
        <v>129</v>
      </c>
      <c r="P1801">
        <v>99</v>
      </c>
      <c r="Q1801">
        <v>129</v>
      </c>
      <c r="R1801" t="s">
        <v>0</v>
      </c>
      <c r="S1801" t="s">
        <v>0</v>
      </c>
      <c r="T1801" t="s">
        <v>0</v>
      </c>
    </row>
    <row r="1802" spans="1:20" x14ac:dyDescent="0.25">
      <c r="A1802">
        <v>21500489</v>
      </c>
      <c r="B1802" t="s">
        <v>10</v>
      </c>
      <c r="C1802" t="s">
        <v>9</v>
      </c>
      <c r="D1802">
        <v>36</v>
      </c>
      <c r="E1802">
        <v>52</v>
      </c>
      <c r="F1802">
        <v>16</v>
      </c>
      <c r="G1802">
        <v>2</v>
      </c>
      <c r="H1802" s="1">
        <v>2.7662037037037039E-3</v>
      </c>
      <c r="I1802">
        <v>2015</v>
      </c>
      <c r="J1802" t="s">
        <v>12</v>
      </c>
      <c r="K1802" s="2" t="str">
        <f>HYPERLINK("https://www.nba.com/stats/events?CFID=&amp;CFPARAMS=&amp;GameEventID=172&amp;GameID=0021500489&amp;Season=2015-16&amp;flag=1&amp;title=Crabbe%2024'%203PT%20Jump%20Shot%20(7%20PTS)%20(Leonard%202%20AST)", "Crabbe 24' 3PT Jump Shot (7 PTS) (Leonard 2 AST)")</f>
        <v>Crabbe 24' 3PT Jump Shot (7 PTS) (Leonard 2 AST)</v>
      </c>
      <c r="L1802" s="2" t="str">
        <f>HYPERLINK("https://www.nba.com/game/...-vs-...-0021500489/play-by-play?watchFullGame=true", "POR vs UTA - Q2 03:59.00")</f>
        <v>POR vs UTA - Q2 03:59.00</v>
      </c>
      <c r="M1802">
        <v>24</v>
      </c>
      <c r="N1802">
        <v>-237</v>
      </c>
      <c r="O1802">
        <v>2</v>
      </c>
      <c r="P1802">
        <v>-237</v>
      </c>
      <c r="Q1802">
        <v>2</v>
      </c>
      <c r="R1802" t="s">
        <v>0</v>
      </c>
      <c r="S1802" t="s">
        <v>0</v>
      </c>
      <c r="T1802" t="s">
        <v>0</v>
      </c>
    </row>
    <row r="1803" spans="1:20" x14ac:dyDescent="0.25">
      <c r="A1803">
        <v>21500516</v>
      </c>
      <c r="B1803" t="s">
        <v>4</v>
      </c>
      <c r="C1803" t="s">
        <v>20</v>
      </c>
      <c r="D1803">
        <v>13</v>
      </c>
      <c r="E1803">
        <v>17</v>
      </c>
      <c r="F1803">
        <v>4</v>
      </c>
      <c r="G1803">
        <v>1</v>
      </c>
      <c r="H1803" s="1">
        <v>3.6458333333333334E-3</v>
      </c>
      <c r="I1803">
        <v>2015</v>
      </c>
      <c r="J1803" t="s">
        <v>7</v>
      </c>
      <c r="K1803" s="2" t="str">
        <f>HYPERLINK("https://www.nba.com/stats/events?CFID=&amp;CFPARAMS=&amp;GameEventID=63&amp;GameID=0021500516&amp;Season=2015-16&amp;flag=1&amp;title=Duncan%201'%20Cutting%20Layup%20Shot%20(4%20PTS)%20(Leonard%201%20AST)", "Duncan 1' Cutting Layup Shot (4 PTS) (Leonard 1 AST)")</f>
        <v>Duncan 1' Cutting Layup Shot (4 PTS) (Leonard 1 AST)</v>
      </c>
      <c r="L1803" s="2" t="str">
        <f>HYPERLINK("https://www.nba.com/game/...-vs-...-0021500516/play-by-play?watchFullGame=true", "SAS vs MIL - Q1 05:15.00")</f>
        <v>SAS vs MIL - Q1 05:15.00</v>
      </c>
      <c r="M1803">
        <v>1</v>
      </c>
      <c r="N1803">
        <v>9</v>
      </c>
      <c r="O1803">
        <v>2</v>
      </c>
      <c r="P1803">
        <v>9</v>
      </c>
      <c r="Q1803">
        <v>2</v>
      </c>
      <c r="R1803" t="s">
        <v>0</v>
      </c>
      <c r="S1803" t="s">
        <v>0</v>
      </c>
      <c r="T1803" t="s">
        <v>0</v>
      </c>
    </row>
    <row r="1804" spans="1:20" x14ac:dyDescent="0.25">
      <c r="A1804">
        <v>21500617</v>
      </c>
      <c r="B1804" t="s">
        <v>4</v>
      </c>
      <c r="C1804" t="s">
        <v>21</v>
      </c>
      <c r="D1804">
        <v>101</v>
      </c>
      <c r="E1804">
        <v>80</v>
      </c>
      <c r="F1804">
        <v>21</v>
      </c>
      <c r="G1804">
        <v>4</v>
      </c>
      <c r="H1804" s="1">
        <v>6.1805555555555555E-3</v>
      </c>
      <c r="I1804">
        <v>2015</v>
      </c>
      <c r="J1804" t="s">
        <v>12</v>
      </c>
      <c r="K1804" s="2" t="str">
        <f>HYPERLINK("https://www.nba.com/stats/events?CFID=&amp;CFPARAMS=&amp;GameEventID=397&amp;GameID=0021500617&amp;Season=2015-16&amp;flag=1&amp;title=McCollum%2014'%20Fadeaway%20Jumper%20(22%20PTS)%20(Leonard%202%20AST)", "McCollum 14' Fadeaway Jumper (22 PTS) (Leonard 2 AST)")</f>
        <v>McCollum 14' Fadeaway Jumper (22 PTS) (Leonard 2 AST)</v>
      </c>
      <c r="L1804" s="2" t="str">
        <f>HYPERLINK("https://www.nba.com/game/...-vs-...-0021500617/play-by-play?watchFullGame=true", "POR vs WAS - Q4 08:54.00")</f>
        <v>POR vs WAS - Q4 08:54.00</v>
      </c>
      <c r="M1804">
        <v>14</v>
      </c>
      <c r="N1804">
        <v>-96</v>
      </c>
      <c r="O1804">
        <v>100</v>
      </c>
      <c r="P1804">
        <v>-96</v>
      </c>
      <c r="Q1804">
        <v>100</v>
      </c>
      <c r="R1804" t="s">
        <v>0</v>
      </c>
      <c r="S1804" t="s">
        <v>0</v>
      </c>
      <c r="T1804" t="s">
        <v>0</v>
      </c>
    </row>
    <row r="1805" spans="1:20" x14ac:dyDescent="0.25">
      <c r="A1805">
        <v>21500726</v>
      </c>
      <c r="B1805" t="s">
        <v>4</v>
      </c>
      <c r="C1805" t="s">
        <v>24</v>
      </c>
      <c r="D1805">
        <v>48</v>
      </c>
      <c r="E1805">
        <v>36</v>
      </c>
      <c r="F1805">
        <v>12</v>
      </c>
      <c r="G1805">
        <v>2</v>
      </c>
      <c r="H1805" s="1">
        <v>2.5115740740740741E-3</v>
      </c>
      <c r="I1805">
        <v>2015</v>
      </c>
      <c r="J1805" t="s">
        <v>7</v>
      </c>
      <c r="K1805" s="2" t="str">
        <f>HYPERLINK("https://www.nba.com/stats/events?CFID=&amp;CFPARAMS=&amp;GameEventID=207&amp;GameID=0021500726&amp;Season=2015-16&amp;flag=1&amp;title=Aldridge%202'%20Cutting%20Finger%20Roll%20Layup%20Shot%20(16%20PTS)%20(Leonard%202%20AST)", "Aldridge 2' Cutting Finger Roll Layup Shot (16 PTS) (Leonard 2 AST)")</f>
        <v>Aldridge 2' Cutting Finger Roll Layup Shot (16 PTS) (Leonard 2 AST)</v>
      </c>
      <c r="L1805" s="2" t="str">
        <f>HYPERLINK("https://www.nba.com/game/...-vs-...-0021500726/play-by-play?watchFullGame=true", "SAS vs ORL - Q2 03:37.00")</f>
        <v>SAS vs ORL - Q2 03:37.00</v>
      </c>
      <c r="M1805">
        <v>2</v>
      </c>
      <c r="N1805">
        <v>-19</v>
      </c>
      <c r="O1805">
        <v>-1</v>
      </c>
      <c r="P1805">
        <v>-19</v>
      </c>
      <c r="Q1805">
        <v>-1</v>
      </c>
      <c r="R1805" t="s">
        <v>0</v>
      </c>
      <c r="S1805" t="s">
        <v>0</v>
      </c>
      <c r="T1805" t="s">
        <v>0</v>
      </c>
    </row>
    <row r="1806" spans="1:20" x14ac:dyDescent="0.25">
      <c r="A1806">
        <v>21500790</v>
      </c>
      <c r="B1806" t="s">
        <v>4</v>
      </c>
      <c r="C1806" t="s">
        <v>5</v>
      </c>
      <c r="D1806">
        <v>52</v>
      </c>
      <c r="E1806">
        <v>51</v>
      </c>
      <c r="F1806">
        <v>1</v>
      </c>
      <c r="G1806">
        <v>3</v>
      </c>
      <c r="H1806" s="1">
        <v>7.5347222222222222E-3</v>
      </c>
      <c r="I1806">
        <v>2015</v>
      </c>
      <c r="J1806" t="s">
        <v>7</v>
      </c>
      <c r="K1806" s="2" t="str">
        <f>HYPERLINK("https://www.nba.com/stats/events?CFID=&amp;CFPARAMS=&amp;GameEventID=262&amp;GameID=0021500790&amp;Season=2015-16&amp;flag=1&amp;title=Aldridge%203'%20Layup%20(13%20PTS)%20(Leonard%201%20AST)", "Aldridge 3' Layup (13 PTS) (Leonard 1 AST)")</f>
        <v>Aldridge 3' Layup (13 PTS) (Leonard 1 AST)</v>
      </c>
      <c r="L1806" s="2" t="str">
        <f>HYPERLINK("https://www.nba.com/game/...-vs-...-0021500790/play-by-play?watchFullGame=true", "SAS vs ORL - Q3 10:51.00")</f>
        <v>SAS vs ORL - Q3 10:51.00</v>
      </c>
      <c r="M1806">
        <v>3</v>
      </c>
      <c r="N1806">
        <v>19</v>
      </c>
      <c r="O1806">
        <v>21</v>
      </c>
      <c r="P1806">
        <v>19</v>
      </c>
      <c r="Q1806">
        <v>21</v>
      </c>
      <c r="R1806" t="s">
        <v>0</v>
      </c>
      <c r="S1806" t="s">
        <v>0</v>
      </c>
      <c r="T1806" t="s">
        <v>0</v>
      </c>
    </row>
    <row r="1807" spans="1:20" x14ac:dyDescent="0.25">
      <c r="A1807">
        <v>21500945</v>
      </c>
      <c r="B1807" t="s">
        <v>4</v>
      </c>
      <c r="C1807" t="s">
        <v>14</v>
      </c>
      <c r="D1807">
        <v>54</v>
      </c>
      <c r="E1807">
        <v>47</v>
      </c>
      <c r="F1807">
        <v>7</v>
      </c>
      <c r="G1807">
        <v>2</v>
      </c>
      <c r="H1807" s="1">
        <v>1.5625000000000001E-3</v>
      </c>
      <c r="I1807">
        <v>2015</v>
      </c>
      <c r="J1807" t="s">
        <v>7</v>
      </c>
      <c r="K1807" s="2" t="str">
        <f>HYPERLINK("https://www.nba.com/stats/events?CFID=&amp;CFPARAMS=&amp;GameEventID=227&amp;GameID=0021500945&amp;Season=2015-16&amp;flag=1&amp;title=Aldridge%2012'%20Step%20Back%20Jump%20Shot%20(16%20PTS)%20(Leonard%202%20AST)", "Aldridge 12' Step Back Jump Shot (16 PTS) (Leonard 2 AST)")</f>
        <v>Aldridge 12' Step Back Jump Shot (16 PTS) (Leonard 2 AST)</v>
      </c>
      <c r="L1807" s="2" t="str">
        <f>HYPERLINK("https://www.nba.com/game/...-vs-...-0021500945/play-by-play?watchFullGame=true", "SAS vs MIN - Q2 02:15.00")</f>
        <v>SAS vs MIN - Q2 02:15.00</v>
      </c>
      <c r="M1807">
        <v>12</v>
      </c>
      <c r="N1807">
        <v>-115</v>
      </c>
      <c r="O1807">
        <v>31</v>
      </c>
      <c r="P1807">
        <v>-115</v>
      </c>
      <c r="Q1807">
        <v>31</v>
      </c>
      <c r="R1807" t="s">
        <v>0</v>
      </c>
      <c r="S1807" t="s">
        <v>0</v>
      </c>
      <c r="T1807" t="s">
        <v>0</v>
      </c>
    </row>
    <row r="1808" spans="1:20" x14ac:dyDescent="0.25">
      <c r="A1808">
        <v>21500960</v>
      </c>
      <c r="B1808" t="s">
        <v>4</v>
      </c>
      <c r="C1808" t="s">
        <v>24</v>
      </c>
      <c r="D1808">
        <v>82</v>
      </c>
      <c r="E1808">
        <v>72</v>
      </c>
      <c r="F1808">
        <v>10</v>
      </c>
      <c r="G1808">
        <v>3</v>
      </c>
      <c r="H1808" s="1">
        <v>6.8402777777777776E-4</v>
      </c>
      <c r="I1808">
        <v>2015</v>
      </c>
      <c r="J1808" t="s">
        <v>7</v>
      </c>
      <c r="K1808" s="2" t="str">
        <f>HYPERLINK("https://www.nba.com/stats/events?CFID=&amp;CFPARAMS=&amp;GameEventID=372&amp;GameID=0021500960&amp;Season=2015-16&amp;flag=1&amp;title=Mills%202'%20Cutting%20Finger%20Roll%20Layup%20Shot%20(2%20PTS)%20(Leonard%202%20AST)", "Mills 2' Cutting Finger Roll Layup Shot (2 PTS) (Leonard 2 AST)")</f>
        <v>Mills 2' Cutting Finger Roll Layup Shot (2 PTS) (Leonard 2 AST)</v>
      </c>
      <c r="L1808" s="2" t="str">
        <f>HYPERLINK("https://www.nba.com/game/...-vs-...-0021500960/play-by-play?watchFullGame=true", "SAS vs CHI - Q3 00:59.10")</f>
        <v>SAS vs CHI - Q3 00:59.10</v>
      </c>
      <c r="M1808">
        <v>2</v>
      </c>
      <c r="N1808">
        <v>17</v>
      </c>
      <c r="O1808">
        <v>11</v>
      </c>
      <c r="P1808">
        <v>17</v>
      </c>
      <c r="Q1808">
        <v>11</v>
      </c>
      <c r="R1808" t="s">
        <v>0</v>
      </c>
      <c r="S1808" t="s">
        <v>0</v>
      </c>
      <c r="T1808" t="s">
        <v>0</v>
      </c>
    </row>
    <row r="1809" spans="1:20" x14ac:dyDescent="0.25">
      <c r="A1809">
        <v>21600086</v>
      </c>
      <c r="B1809" t="s">
        <v>10</v>
      </c>
      <c r="C1809" t="s">
        <v>9</v>
      </c>
      <c r="D1809">
        <v>8</v>
      </c>
      <c r="E1809">
        <v>0</v>
      </c>
      <c r="F1809">
        <v>8</v>
      </c>
      <c r="G1809">
        <v>1</v>
      </c>
      <c r="H1809" s="1">
        <v>7.3611111111111108E-3</v>
      </c>
      <c r="I1809">
        <v>2016</v>
      </c>
      <c r="J1809" t="s">
        <v>7</v>
      </c>
      <c r="K1809" s="2" t="str">
        <f>HYPERLINK("https://www.nba.com/stats/events?CFID=&amp;CFPARAMS=&amp;GameEventID=10&amp;GameID=0021600086&amp;Season=2016-17&amp;flag=1&amp;title=Aldridge%2024'%203PT%20Jump%20Shot%20(3%20PTS)%20(Leonard%201%20AST)", "Aldridge 24' 3PT Jump Shot (3 PTS) (Leonard 1 AST)")</f>
        <v>Aldridge 24' 3PT Jump Shot (3 PTS) (Leonard 1 AST)</v>
      </c>
      <c r="L1809" s="2" t="str">
        <f>HYPERLINK("https://www.nba.com/game/...-vs-...-0021600086/play-by-play?watchFullGame=true", "SAS vs LAC - Q1 10:36.00")</f>
        <v>SAS vs LAC - Q1 10:36.00</v>
      </c>
      <c r="M1809">
        <v>24</v>
      </c>
      <c r="N1809">
        <v>-40</v>
      </c>
      <c r="O1809">
        <v>237</v>
      </c>
      <c r="P1809">
        <v>-40</v>
      </c>
      <c r="Q1809">
        <v>237</v>
      </c>
      <c r="R1809" t="s">
        <v>0</v>
      </c>
      <c r="S1809" t="s">
        <v>0</v>
      </c>
      <c r="T1809" t="s">
        <v>0</v>
      </c>
    </row>
    <row r="1810" spans="1:20" x14ac:dyDescent="0.25">
      <c r="A1810">
        <v>21600182</v>
      </c>
      <c r="B1810" t="s">
        <v>4</v>
      </c>
      <c r="C1810" t="s">
        <v>9</v>
      </c>
      <c r="D1810">
        <v>49</v>
      </c>
      <c r="E1810">
        <v>43</v>
      </c>
      <c r="F1810">
        <v>6</v>
      </c>
      <c r="G1810">
        <v>2</v>
      </c>
      <c r="H1810" s="1">
        <v>1.1342592592592593E-3</v>
      </c>
      <c r="I1810">
        <v>2016</v>
      </c>
      <c r="J1810" t="s">
        <v>7</v>
      </c>
      <c r="K1810" s="2" t="str">
        <f>HYPERLINK("https://www.nba.com/stats/events?CFID=&amp;CFPARAMS=&amp;GameEventID=231&amp;GameID=0021600182&amp;Season=2016-17&amp;flag=1&amp;title=Aldridge%2023'%20Jump%20Shot%20(7%20PTS)%20(Leonard%205%20AST)", "Aldridge 23' Jump Shot (7 PTS) (Leonard 5 AST)")</f>
        <v>Aldridge 23' Jump Shot (7 PTS) (Leonard 5 AST)</v>
      </c>
      <c r="L1810" s="2" t="str">
        <f>HYPERLINK("https://www.nba.com/game/...-vs-...-0021600182/play-by-play?watchFullGame=true", "SAS vs LAL - Q2 01:38.00")</f>
        <v>SAS vs LAL - Q2 01:38.00</v>
      </c>
      <c r="M1810">
        <v>23</v>
      </c>
      <c r="N1810">
        <v>-69</v>
      </c>
      <c r="O1810">
        <v>222</v>
      </c>
      <c r="P1810">
        <v>-69</v>
      </c>
      <c r="Q1810">
        <v>222</v>
      </c>
      <c r="R1810" t="s">
        <v>0</v>
      </c>
      <c r="S1810" t="s">
        <v>0</v>
      </c>
      <c r="T1810" t="s">
        <v>0</v>
      </c>
    </row>
    <row r="1811" spans="1:20" x14ac:dyDescent="0.25">
      <c r="A1811">
        <v>21600237</v>
      </c>
      <c r="B1811" t="s">
        <v>4</v>
      </c>
      <c r="C1811" t="s">
        <v>29</v>
      </c>
      <c r="D1811">
        <v>86</v>
      </c>
      <c r="E1811">
        <v>76</v>
      </c>
      <c r="F1811">
        <v>10</v>
      </c>
      <c r="G1811">
        <v>3</v>
      </c>
      <c r="H1811" s="1">
        <v>2.9166666666666668E-3</v>
      </c>
      <c r="I1811">
        <v>2016</v>
      </c>
      <c r="J1811" t="s">
        <v>12</v>
      </c>
      <c r="K1811" s="2" t="str">
        <f>HYPERLINK("https://www.nba.com/stats/events?CFID=&amp;CFPARAMS=&amp;GameEventID=371&amp;GameID=0021600237&amp;Season=2016-17&amp;flag=1&amp;title=Lillard%2014'%20Driving%20Floating%20Jump%20Shot%20(17%20PTS)%20(Leonard%202%20AST)", "Lillard 14' Driving Floating Jump Shot (17 PTS) (Leonard 2 AST)")</f>
        <v>Lillard 14' Driving Floating Jump Shot (17 PTS) (Leonard 2 AST)</v>
      </c>
      <c r="L1811" s="2" t="str">
        <f>HYPERLINK("https://www.nba.com/game/...-vs-...-0021600237/play-by-play?watchFullGame=true", "POR vs NOP - Q3 04:12.00")</f>
        <v>POR vs NOP - Q3 04:12.00</v>
      </c>
      <c r="M1811">
        <v>14</v>
      </c>
      <c r="N1811">
        <v>79</v>
      </c>
      <c r="O1811">
        <v>115</v>
      </c>
      <c r="P1811">
        <v>79</v>
      </c>
      <c r="Q1811">
        <v>115</v>
      </c>
      <c r="R1811" t="s">
        <v>0</v>
      </c>
      <c r="S1811" t="s">
        <v>0</v>
      </c>
      <c r="T1811" t="s">
        <v>0</v>
      </c>
    </row>
    <row r="1812" spans="1:20" x14ac:dyDescent="0.25">
      <c r="A1812">
        <v>21600240</v>
      </c>
      <c r="B1812" t="s">
        <v>10</v>
      </c>
      <c r="C1812" t="s">
        <v>9</v>
      </c>
      <c r="D1812">
        <v>46</v>
      </c>
      <c r="E1812">
        <v>36</v>
      </c>
      <c r="F1812">
        <v>10</v>
      </c>
      <c r="G1812">
        <v>2</v>
      </c>
      <c r="H1812" s="1">
        <v>2.2106481481481482E-3</v>
      </c>
      <c r="I1812">
        <v>2016</v>
      </c>
      <c r="J1812" t="s">
        <v>7</v>
      </c>
      <c r="K1812" s="2" t="str">
        <f>HYPERLINK("https://www.nba.com/stats/events?CFID=&amp;CFPARAMS=&amp;GameEventID=229&amp;GameID=0021600240&amp;Season=2016-17&amp;flag=1&amp;title=Green%2025'%203PT%20Jump%20Shot%20(3%20PTS)%20(Leonard%201%20AST)", "Green 25' 3PT Jump Shot (3 PTS) (Leonard 1 AST)")</f>
        <v>Green 25' 3PT Jump Shot (3 PTS) (Leonard 1 AST)</v>
      </c>
      <c r="L1812" s="2" t="str">
        <f>HYPERLINK("https://www.nba.com/game/...-vs-...-0021600240/play-by-play?watchFullGame=true", "SAS vs WAS - Q2 03:11.00")</f>
        <v>SAS vs WAS - Q2 03:11.00</v>
      </c>
      <c r="M1812">
        <v>25</v>
      </c>
      <c r="N1812">
        <v>189</v>
      </c>
      <c r="O1812">
        <v>156</v>
      </c>
      <c r="P1812">
        <v>189</v>
      </c>
      <c r="Q1812">
        <v>156</v>
      </c>
      <c r="R1812" t="s">
        <v>0</v>
      </c>
      <c r="S1812" t="s">
        <v>0</v>
      </c>
      <c r="T1812" t="s">
        <v>0</v>
      </c>
    </row>
    <row r="1813" spans="1:20" x14ac:dyDescent="0.25">
      <c r="A1813">
        <v>21600308</v>
      </c>
      <c r="B1813" t="s">
        <v>10</v>
      </c>
      <c r="C1813" t="s">
        <v>9</v>
      </c>
      <c r="D1813">
        <v>34</v>
      </c>
      <c r="E1813">
        <v>32</v>
      </c>
      <c r="F1813">
        <v>2</v>
      </c>
      <c r="G1813">
        <v>2</v>
      </c>
      <c r="H1813" s="1">
        <v>7.4074074074074077E-3</v>
      </c>
      <c r="I1813">
        <v>2016</v>
      </c>
      <c r="J1813" t="s">
        <v>12</v>
      </c>
      <c r="K1813" s="2" t="str">
        <f>HYPERLINK("https://www.nba.com/stats/events?CFID=&amp;CFPARAMS=&amp;GameEventID=132&amp;GameID=0021600308&amp;Season=2016-17&amp;flag=1&amp;title=McCollum%2025'%203PT%20Jump%20Shot%20(9%20PTS)%20(Leonard%201%20AST)", "McCollum 25' 3PT Jump Shot (9 PTS) (Leonard 1 AST)")</f>
        <v>McCollum 25' 3PT Jump Shot (9 PTS) (Leonard 1 AST)</v>
      </c>
      <c r="L1813" s="2" t="str">
        <f>HYPERLINK("https://www.nba.com/game/...-vs-...-0021600308/play-by-play?watchFullGame=true", "POR vs CHI - Q2 10:40.00")</f>
        <v>POR vs CHI - Q2 10:40.00</v>
      </c>
      <c r="M1813">
        <v>25</v>
      </c>
      <c r="N1813">
        <v>86</v>
      </c>
      <c r="O1813">
        <v>239</v>
      </c>
      <c r="P1813">
        <v>86</v>
      </c>
      <c r="Q1813">
        <v>239</v>
      </c>
      <c r="R1813" t="s">
        <v>0</v>
      </c>
      <c r="S1813" t="s">
        <v>0</v>
      </c>
      <c r="T1813" t="s">
        <v>0</v>
      </c>
    </row>
    <row r="1814" spans="1:20" x14ac:dyDescent="0.25">
      <c r="A1814">
        <v>21600387</v>
      </c>
      <c r="B1814" t="s">
        <v>4</v>
      </c>
      <c r="C1814" t="s">
        <v>9</v>
      </c>
      <c r="D1814">
        <v>53</v>
      </c>
      <c r="E1814">
        <v>43</v>
      </c>
      <c r="F1814">
        <v>10</v>
      </c>
      <c r="G1814">
        <v>3</v>
      </c>
      <c r="H1814" s="1">
        <v>8.0902777777777778E-3</v>
      </c>
      <c r="I1814">
        <v>2016</v>
      </c>
      <c r="J1814" t="s">
        <v>7</v>
      </c>
      <c r="K1814" s="2" t="str">
        <f>HYPERLINK("https://www.nba.com/stats/events?CFID=&amp;CFPARAMS=&amp;GameEventID=249&amp;GameID=0021600387&amp;Season=2016-17&amp;flag=1&amp;title=Gasol%2021'%20Jump%20Shot%20(10%20PTS)%20(Leonard%204%20AST)", "Gasol 21' Jump Shot (10 PTS) (Leonard 4 AST)")</f>
        <v>Gasol 21' Jump Shot (10 PTS) (Leonard 4 AST)</v>
      </c>
      <c r="L1814" s="2" t="str">
        <f>HYPERLINK("https://www.nba.com/game/...-vs-...-0021600387/play-by-play?watchFullGame=true", "SAS vs PHX - Q3 11:39.00")</f>
        <v>SAS vs PHX - Q3 11:39.00</v>
      </c>
      <c r="M1814">
        <v>21</v>
      </c>
      <c r="N1814">
        <v>-140</v>
      </c>
      <c r="O1814">
        <v>159</v>
      </c>
      <c r="P1814">
        <v>-140</v>
      </c>
      <c r="Q1814">
        <v>159</v>
      </c>
      <c r="R1814" t="s">
        <v>0</v>
      </c>
      <c r="S1814" t="s">
        <v>0</v>
      </c>
      <c r="T1814" t="s">
        <v>0</v>
      </c>
    </row>
    <row r="1815" spans="1:20" x14ac:dyDescent="0.25">
      <c r="A1815">
        <v>21600441</v>
      </c>
      <c r="B1815" t="s">
        <v>4</v>
      </c>
      <c r="C1815" t="s">
        <v>36</v>
      </c>
      <c r="D1815">
        <v>18</v>
      </c>
      <c r="E1815">
        <v>20</v>
      </c>
      <c r="F1815">
        <v>2</v>
      </c>
      <c r="G1815">
        <v>1</v>
      </c>
      <c r="H1815" s="1">
        <v>1.2731481481481483E-3</v>
      </c>
      <c r="I1815">
        <v>2016</v>
      </c>
      <c r="J1815" t="s">
        <v>7</v>
      </c>
      <c r="K1815" s="2" t="str">
        <f>HYPERLINK("https://www.nba.com/stats/events?CFID=&amp;CFPARAMS=&amp;GameEventID=115&amp;GameID=0021600441&amp;Season=2016-17&amp;flag=1&amp;title=Lee%201'%20Running%20Layup%20(4%20PTS)%20(Leonard%203%20AST)", "Lee 1' Running Layup (4 PTS) (Leonard 3 AST)")</f>
        <v>Lee 1' Running Layup (4 PTS) (Leonard 3 AST)</v>
      </c>
      <c r="L1815" s="2" t="str">
        <f>HYPERLINK("https://www.nba.com/game/...-vs-...-0021600441/play-by-play?watchFullGame=true", "SAS vs LAC - Q1 01:50.00")</f>
        <v>SAS vs LAC - Q1 01:50.00</v>
      </c>
      <c r="M1815">
        <v>1</v>
      </c>
      <c r="N1815">
        <v>-12</v>
      </c>
      <c r="O1815">
        <v>0</v>
      </c>
      <c r="P1815">
        <v>-12</v>
      </c>
      <c r="Q1815">
        <v>0</v>
      </c>
      <c r="R1815" t="s">
        <v>0</v>
      </c>
      <c r="S1815" t="s">
        <v>0</v>
      </c>
      <c r="T1815" t="s">
        <v>0</v>
      </c>
    </row>
    <row r="1816" spans="1:20" x14ac:dyDescent="0.25">
      <c r="A1816">
        <v>21600762</v>
      </c>
      <c r="B1816" t="s">
        <v>10</v>
      </c>
      <c r="C1816" t="s">
        <v>19</v>
      </c>
      <c r="D1816">
        <v>80</v>
      </c>
      <c r="E1816">
        <v>59</v>
      </c>
      <c r="F1816">
        <v>21</v>
      </c>
      <c r="G1816">
        <v>3</v>
      </c>
      <c r="H1816" s="1">
        <v>2.7546296296296294E-3</v>
      </c>
      <c r="I1816">
        <v>2016</v>
      </c>
      <c r="J1816" t="s">
        <v>7</v>
      </c>
      <c r="K1816" s="2" t="str">
        <f>HYPERLINK("https://www.nba.com/stats/events?CFID=&amp;CFPARAMS=&amp;GameEventID=344&amp;GameID=0021600762&amp;Season=2016-17&amp;flag=1&amp;title=Mills%2024'%203PT%20Pullup%20Jump%20Shot%20(3%20PTS)%20(Leonard%204%20AST)", "Mills 24' 3PT Pullup Jump Shot (3 PTS) (Leonard 4 AST)")</f>
        <v>Mills 24' 3PT Pullup Jump Shot (3 PTS) (Leonard 4 AST)</v>
      </c>
      <c r="L1816" s="2" t="str">
        <f>HYPERLINK("https://www.nba.com/game/...-vs-...-0021600762/play-by-play?watchFullGame=true", "SAS vs DEN - Q3 03:58.00")</f>
        <v>SAS vs DEN - Q3 03:58.00</v>
      </c>
      <c r="M1816">
        <v>24</v>
      </c>
      <c r="N1816">
        <v>-237</v>
      </c>
      <c r="O1816">
        <v>-31</v>
      </c>
      <c r="P1816">
        <v>-237</v>
      </c>
      <c r="Q1816">
        <v>-31</v>
      </c>
      <c r="R1816" t="s">
        <v>0</v>
      </c>
      <c r="S1816" t="s">
        <v>0</v>
      </c>
      <c r="T1816" t="s">
        <v>0</v>
      </c>
    </row>
    <row r="1817" spans="1:20" x14ac:dyDescent="0.25">
      <c r="A1817">
        <v>21500905</v>
      </c>
      <c r="B1817" t="s">
        <v>4</v>
      </c>
      <c r="C1817" t="s">
        <v>22</v>
      </c>
      <c r="D1817">
        <v>42</v>
      </c>
      <c r="E1817">
        <v>46</v>
      </c>
      <c r="F1817">
        <v>4</v>
      </c>
      <c r="G1817">
        <v>2</v>
      </c>
      <c r="H1817" s="1">
        <v>2.1180555555555558E-3</v>
      </c>
      <c r="I1817">
        <v>2015</v>
      </c>
      <c r="J1817" t="s">
        <v>7</v>
      </c>
      <c r="K1817" s="2" t="str">
        <f>HYPERLINK("https://www.nba.com/stats/events?CFID=&amp;CFPARAMS=&amp;GameEventID=186&amp;GameID=0021500905&amp;Season=2015-16&amp;flag=1&amp;title=Duncan%206'%20Jump%20Bank%20Shot%20(6%20PTS)%20(Leonard%203%20AST)", "Duncan 6' Jump Bank Shot (6 PTS) (Leonard 3 AST)")</f>
        <v>Duncan 6' Jump Bank Shot (6 PTS) (Leonard 3 AST)</v>
      </c>
      <c r="L1817" s="2" t="str">
        <f>HYPERLINK("https://www.nba.com/game/...-vs-...-0021500905/play-by-play?watchFullGame=true", "SAS vs DET - Q2 03:03.00")</f>
        <v>SAS vs DET - Q2 03:03.00</v>
      </c>
      <c r="M1817">
        <v>6</v>
      </c>
      <c r="N1817">
        <v>60</v>
      </c>
      <c r="O1817">
        <v>11</v>
      </c>
      <c r="P1817">
        <v>60</v>
      </c>
      <c r="Q1817">
        <v>11</v>
      </c>
      <c r="R1817" t="s">
        <v>0</v>
      </c>
      <c r="S1817" t="s">
        <v>0</v>
      </c>
      <c r="T1817" t="s">
        <v>0</v>
      </c>
    </row>
    <row r="1818" spans="1:20" x14ac:dyDescent="0.25">
      <c r="A1818">
        <v>21501140</v>
      </c>
      <c r="B1818" t="s">
        <v>4</v>
      </c>
      <c r="C1818" t="s">
        <v>19</v>
      </c>
      <c r="D1818">
        <v>4</v>
      </c>
      <c r="E1818">
        <v>2</v>
      </c>
      <c r="F1818">
        <v>2</v>
      </c>
      <c r="G1818">
        <v>1</v>
      </c>
      <c r="H1818" s="1">
        <v>7.4884259259259262E-3</v>
      </c>
      <c r="I1818">
        <v>2015</v>
      </c>
      <c r="J1818" t="s">
        <v>7</v>
      </c>
      <c r="K1818" s="2" t="str">
        <f>HYPERLINK("https://www.nba.com/stats/events?CFID=&amp;CFPARAMS=&amp;GameEventID=6&amp;GameID=0021501140&amp;Season=2015-16&amp;flag=1&amp;title=Aldridge%2019'%20Pullup%20Jump%20Shot%20(2%20PTS)%20(Leonard%201%20AST)", "Aldridge 19' Pullup Jump Shot (2 PTS) (Leonard 1 AST)")</f>
        <v>Aldridge 19' Pullup Jump Shot (2 PTS) (Leonard 1 AST)</v>
      </c>
      <c r="L1818" s="2" t="str">
        <f>HYPERLINK("https://www.nba.com/game/...-vs-...-0021501140/play-by-play?watchFullGame=true", "SAS vs TOR - Q1 10:47.00")</f>
        <v>SAS vs TOR - Q1 10:47.00</v>
      </c>
      <c r="M1818">
        <v>19</v>
      </c>
      <c r="N1818">
        <v>56</v>
      </c>
      <c r="O1818">
        <v>183</v>
      </c>
      <c r="P1818">
        <v>56</v>
      </c>
      <c r="Q1818">
        <v>183</v>
      </c>
      <c r="R1818" t="s">
        <v>0</v>
      </c>
      <c r="S1818" t="s">
        <v>0</v>
      </c>
      <c r="T1818" t="s">
        <v>0</v>
      </c>
    </row>
    <row r="1819" spans="1:20" x14ac:dyDescent="0.25">
      <c r="A1819">
        <v>21501140</v>
      </c>
      <c r="B1819" t="s">
        <v>4</v>
      </c>
      <c r="C1819" t="s">
        <v>16</v>
      </c>
      <c r="D1819">
        <v>47</v>
      </c>
      <c r="E1819">
        <v>40</v>
      </c>
      <c r="F1819">
        <v>7</v>
      </c>
      <c r="G1819">
        <v>2</v>
      </c>
      <c r="H1819" s="1">
        <v>2.9861111111111113E-3</v>
      </c>
      <c r="I1819">
        <v>2015</v>
      </c>
      <c r="J1819" t="s">
        <v>7</v>
      </c>
      <c r="K1819" s="2" t="str">
        <f>HYPERLINK("https://www.nba.com/stats/events?CFID=&amp;CFPARAMS=&amp;GameEventID=171&amp;GameID=0021501140&amp;Season=2015-16&amp;flag=1&amp;title=Aldridge%20%20Running%20Dunk%20(15%20PTS)%20(Leonard%204%20AST)", "Aldridge  Running Dunk (15 PTS) (Leonard 4 AST)")</f>
        <v>Aldridge  Running Dunk (15 PTS) (Leonard 4 AST)</v>
      </c>
      <c r="L1819" s="2" t="str">
        <f>HYPERLINK("https://www.nba.com/game/...-vs-...-0021501140/play-by-play?watchFullGame=true", "SAS vs TOR - Q2 04:18.00")</f>
        <v>SAS vs TOR - Q2 04:18.00</v>
      </c>
      <c r="M1819">
        <v>0</v>
      </c>
      <c r="N1819">
        <v>0</v>
      </c>
      <c r="O1819">
        <v>1</v>
      </c>
      <c r="P1819">
        <v>0</v>
      </c>
      <c r="Q1819">
        <v>1</v>
      </c>
      <c r="R1819" t="s">
        <v>0</v>
      </c>
      <c r="S1819" t="s">
        <v>0</v>
      </c>
      <c r="T1819" t="s">
        <v>0</v>
      </c>
    </row>
    <row r="1820" spans="1:20" x14ac:dyDescent="0.25">
      <c r="A1820">
        <v>21600077</v>
      </c>
      <c r="B1820" t="s">
        <v>10</v>
      </c>
      <c r="C1820" t="s">
        <v>9</v>
      </c>
      <c r="D1820">
        <v>53</v>
      </c>
      <c r="E1820">
        <v>39</v>
      </c>
      <c r="F1820">
        <v>14</v>
      </c>
      <c r="G1820">
        <v>2</v>
      </c>
      <c r="H1820" s="1">
        <v>5.1388888888888892E-4</v>
      </c>
      <c r="I1820">
        <v>2016</v>
      </c>
      <c r="J1820" t="s">
        <v>7</v>
      </c>
      <c r="K1820" s="2" t="str">
        <f>HYPERLINK("https://www.nba.com/stats/events?CFID=&amp;CFPARAMS=&amp;GameEventID=259&amp;GameID=0021600077&amp;Season=2016-17&amp;flag=1&amp;title=Ginobili%2024'%203PT%20Jump%20Shot%20(9%20PTS)%20(Leonard%201%20AST)", "Ginobili 24' 3PT Jump Shot (9 PTS) (Leonard 1 AST)")</f>
        <v>Ginobili 24' 3PT Jump Shot (9 PTS) (Leonard 1 AST)</v>
      </c>
      <c r="L1820" s="2" t="str">
        <f>HYPERLINK("https://www.nba.com/game/...-vs-...-0021600077/play-by-play?watchFullGame=true", "SAS vs UTA - Q2 00:44.40")</f>
        <v>SAS vs UTA - Q2 00:44.40</v>
      </c>
      <c r="M1820">
        <v>24</v>
      </c>
      <c r="N1820">
        <v>-238</v>
      </c>
      <c r="O1820">
        <v>11</v>
      </c>
      <c r="P1820">
        <v>-238</v>
      </c>
      <c r="Q1820">
        <v>11</v>
      </c>
      <c r="R1820" t="s">
        <v>0</v>
      </c>
      <c r="S1820" t="s">
        <v>0</v>
      </c>
      <c r="T1820" t="s">
        <v>0</v>
      </c>
    </row>
    <row r="1821" spans="1:20" x14ac:dyDescent="0.25">
      <c r="A1821">
        <v>21600206</v>
      </c>
      <c r="B1821" t="s">
        <v>10</v>
      </c>
      <c r="C1821" t="s">
        <v>9</v>
      </c>
      <c r="D1821">
        <v>17</v>
      </c>
      <c r="E1821">
        <v>18</v>
      </c>
      <c r="F1821">
        <v>1</v>
      </c>
      <c r="G1821">
        <v>1</v>
      </c>
      <c r="H1821" s="1">
        <v>3.3101851851851851E-3</v>
      </c>
      <c r="I1821">
        <v>2016</v>
      </c>
      <c r="J1821" t="s">
        <v>7</v>
      </c>
      <c r="K1821" s="2" t="str">
        <f>HYPERLINK("https://www.nba.com/stats/events?CFID=&amp;CFPARAMS=&amp;GameEventID=49&amp;GameID=0021600206&amp;Season=2016-17&amp;flag=1&amp;title=Bertans%2024'%203PT%20Jump%20Shot%20(3%20PTS)%20(Leonard%202%20AST)", "Bertans 24' 3PT Jump Shot (3 PTS) (Leonard 2 AST)")</f>
        <v>Bertans 24' 3PT Jump Shot (3 PTS) (Leonard 2 AST)</v>
      </c>
      <c r="L1821" s="2" t="str">
        <f>HYPERLINK("https://www.nba.com/game/...-vs-...-0021600206/play-by-play?watchFullGame=true", "SAS vs DAL - Q1 04:46.00")</f>
        <v>SAS vs DAL - Q1 04:46.00</v>
      </c>
      <c r="M1821">
        <v>24</v>
      </c>
      <c r="N1821">
        <v>143</v>
      </c>
      <c r="O1821">
        <v>193</v>
      </c>
      <c r="P1821">
        <v>143</v>
      </c>
      <c r="Q1821">
        <v>193</v>
      </c>
      <c r="R1821" t="s">
        <v>0</v>
      </c>
      <c r="S1821" t="s">
        <v>0</v>
      </c>
      <c r="T1821" t="s">
        <v>0</v>
      </c>
    </row>
    <row r="1822" spans="1:20" x14ac:dyDescent="0.25">
      <c r="A1822">
        <v>21600208</v>
      </c>
      <c r="B1822" t="s">
        <v>4</v>
      </c>
      <c r="C1822" t="s">
        <v>9</v>
      </c>
      <c r="D1822">
        <v>35</v>
      </c>
      <c r="E1822">
        <v>32</v>
      </c>
      <c r="F1822">
        <v>3</v>
      </c>
      <c r="G1822">
        <v>2</v>
      </c>
      <c r="H1822" s="1">
        <v>7.0717592592592594E-3</v>
      </c>
      <c r="I1822">
        <v>2016</v>
      </c>
      <c r="J1822" t="s">
        <v>12</v>
      </c>
      <c r="K1822" s="2" t="str">
        <f>HYPERLINK("https://www.nba.com/stats/events?CFID=&amp;CFPARAMS=&amp;GameEventID=144&amp;GameID=0021600208&amp;Season=2016-17&amp;flag=1&amp;title=McCollum%2019'%20Jump%20Shot%20(7%20PTS)%20(Leonard%201%20AST)", "McCollum 19' Jump Shot (7 PTS) (Leonard 1 AST)")</f>
        <v>McCollum 19' Jump Shot (7 PTS) (Leonard 1 AST)</v>
      </c>
      <c r="L1822" s="2" t="str">
        <f>HYPERLINK("https://www.nba.com/game/...-vs-...-0021600208/play-by-play?watchFullGame=true", "POR vs NYK - Q2 10:11.00")</f>
        <v>POR vs NYK - Q2 10:11.00</v>
      </c>
      <c r="M1822">
        <v>19</v>
      </c>
      <c r="N1822">
        <v>86</v>
      </c>
      <c r="O1822">
        <v>175</v>
      </c>
      <c r="P1822">
        <v>86</v>
      </c>
      <c r="Q1822">
        <v>175</v>
      </c>
      <c r="R1822" t="s">
        <v>0</v>
      </c>
      <c r="S1822" t="s">
        <v>0</v>
      </c>
      <c r="T1822" t="s">
        <v>0</v>
      </c>
    </row>
    <row r="1823" spans="1:20" x14ac:dyDescent="0.25">
      <c r="A1823">
        <v>21600213</v>
      </c>
      <c r="B1823" t="s">
        <v>10</v>
      </c>
      <c r="C1823" t="s">
        <v>9</v>
      </c>
      <c r="D1823">
        <v>111</v>
      </c>
      <c r="E1823">
        <v>104</v>
      </c>
      <c r="F1823">
        <v>7</v>
      </c>
      <c r="G1823">
        <v>4</v>
      </c>
      <c r="H1823" s="1">
        <v>9.6064814814814819E-4</v>
      </c>
      <c r="I1823">
        <v>2016</v>
      </c>
      <c r="J1823" t="s">
        <v>7</v>
      </c>
      <c r="K1823" s="2" t="str">
        <f>HYPERLINK("https://www.nba.com/stats/events?CFID=&amp;CFPARAMS=&amp;GameEventID=465&amp;GameID=0021600213&amp;Season=2016-17&amp;flag=1&amp;title=Green%2026'%203PT%20Jump%20Shot%20(16%20PTS)%20(Leonard%204%20AST)", "Green 26' 3PT Jump Shot (16 PTS) (Leonard 4 AST)")</f>
        <v>Green 26' 3PT Jump Shot (16 PTS) (Leonard 4 AST)</v>
      </c>
      <c r="L1823" s="2" t="str">
        <f>HYPERLINK("https://www.nba.com/game/...-vs-...-0021600213/play-by-play?watchFullGame=true", "SAS vs CHA - Q4 01:23.00")</f>
        <v>SAS vs CHA - Q4 01:23.00</v>
      </c>
      <c r="M1823">
        <v>26</v>
      </c>
      <c r="N1823">
        <v>197</v>
      </c>
      <c r="O1823">
        <v>175</v>
      </c>
      <c r="P1823">
        <v>197</v>
      </c>
      <c r="Q1823">
        <v>175</v>
      </c>
      <c r="R1823" t="s">
        <v>0</v>
      </c>
      <c r="S1823" t="s">
        <v>0</v>
      </c>
      <c r="T1823" t="s">
        <v>0</v>
      </c>
    </row>
    <row r="1824" spans="1:20" x14ac:dyDescent="0.25">
      <c r="A1824">
        <v>21600225</v>
      </c>
      <c r="B1824" t="s">
        <v>10</v>
      </c>
      <c r="C1824" t="s">
        <v>9</v>
      </c>
      <c r="D1824">
        <v>6</v>
      </c>
      <c r="E1824">
        <v>4</v>
      </c>
      <c r="F1824">
        <v>2</v>
      </c>
      <c r="G1824">
        <v>1</v>
      </c>
      <c r="H1824" s="1">
        <v>6.3888888888888893E-3</v>
      </c>
      <c r="I1824">
        <v>2016</v>
      </c>
      <c r="J1824" t="s">
        <v>7</v>
      </c>
      <c r="K1824" s="2" t="str">
        <f>HYPERLINK("https://www.nba.com/stats/events?CFID=&amp;CFPARAMS=&amp;GameEventID=15&amp;GameID=0021600225&amp;Season=2016-17&amp;flag=1&amp;title=Green%2025'%203PT%20Jump%20Shot%20(3%20PTS)%20(Leonard%201%20AST)", "Green 25' 3PT Jump Shot (3 PTS) (Leonard 1 AST)")</f>
        <v>Green 25' 3PT Jump Shot (3 PTS) (Leonard 1 AST)</v>
      </c>
      <c r="L1824" s="2" t="str">
        <f>HYPERLINK("https://www.nba.com/game/...-vs-...-0021600225/play-by-play?watchFullGame=true", "SAS vs BOS - Q1 09:12.00")</f>
        <v>SAS vs BOS - Q1 09:12.00</v>
      </c>
      <c r="M1824">
        <v>25</v>
      </c>
      <c r="N1824">
        <v>-233</v>
      </c>
      <c r="O1824">
        <v>100</v>
      </c>
      <c r="P1824">
        <v>-233</v>
      </c>
      <c r="Q1824">
        <v>100</v>
      </c>
      <c r="R1824" t="s">
        <v>0</v>
      </c>
      <c r="S1824" t="s">
        <v>0</v>
      </c>
      <c r="T1824" t="s">
        <v>0</v>
      </c>
    </row>
    <row r="1825" spans="1:20" x14ac:dyDescent="0.25">
      <c r="A1825">
        <v>21600908</v>
      </c>
      <c r="B1825" t="s">
        <v>10</v>
      </c>
      <c r="C1825" t="s">
        <v>9</v>
      </c>
      <c r="D1825">
        <v>34</v>
      </c>
      <c r="E1825">
        <v>31</v>
      </c>
      <c r="F1825">
        <v>3</v>
      </c>
      <c r="G1825">
        <v>2</v>
      </c>
      <c r="H1825" s="1">
        <v>6.3425925925925924E-3</v>
      </c>
      <c r="I1825">
        <v>2016</v>
      </c>
      <c r="J1825" t="s">
        <v>12</v>
      </c>
      <c r="K1825" s="2" t="str">
        <f>HYPERLINK("https://www.nba.com/stats/events?CFID=&amp;CFPARAMS=&amp;GameEventID=150&amp;GameID=0021600908&amp;Season=2016-17&amp;flag=1&amp;title=McCollum%2029'%203PT%20Jump%20Shot%20(7%20PTS)%20(Leonard%202%20AST)", "McCollum 29' 3PT Jump Shot (7 PTS) (Leonard 2 AST)")</f>
        <v>McCollum 29' 3PT Jump Shot (7 PTS) (Leonard 2 AST)</v>
      </c>
      <c r="L1825" s="2" t="str">
        <f>HYPERLINK("https://www.nba.com/game/...-vs-...-0021600908/play-by-play?watchFullGame=true", "POR vs OKC - Q2 09:08.00")</f>
        <v>POR vs OKC - Q2 09:08.00</v>
      </c>
      <c r="M1825">
        <v>29</v>
      </c>
      <c r="N1825">
        <v>-150</v>
      </c>
      <c r="O1825">
        <v>247</v>
      </c>
      <c r="P1825">
        <v>-150</v>
      </c>
      <c r="Q1825">
        <v>247</v>
      </c>
      <c r="R1825" t="s">
        <v>0</v>
      </c>
      <c r="S1825" t="s">
        <v>0</v>
      </c>
      <c r="T1825" t="s">
        <v>0</v>
      </c>
    </row>
    <row r="1826" spans="1:20" x14ac:dyDescent="0.25">
      <c r="A1826">
        <v>21600994</v>
      </c>
      <c r="B1826" t="s">
        <v>4</v>
      </c>
      <c r="C1826" t="s">
        <v>9</v>
      </c>
      <c r="D1826">
        <v>65</v>
      </c>
      <c r="E1826">
        <v>52</v>
      </c>
      <c r="F1826">
        <v>13</v>
      </c>
      <c r="G1826">
        <v>3</v>
      </c>
      <c r="H1826" s="1">
        <v>5.4513888888888893E-3</v>
      </c>
      <c r="I1826">
        <v>2016</v>
      </c>
      <c r="J1826" t="s">
        <v>7</v>
      </c>
      <c r="K1826" s="2" t="str">
        <f>HYPERLINK("https://www.nba.com/stats/events?CFID=&amp;CFPARAMS=&amp;GameEventID=310&amp;GameID=0021600994&amp;Season=2016-17&amp;flag=1&amp;title=Lee%2017'%20Jump%20Shot%20(14%20PTS)%20(Leonard%202%20AST)", "Lee 17' Jump Shot (14 PTS) (Leonard 2 AST)")</f>
        <v>Lee 17' Jump Shot (14 PTS) (Leonard 2 AST)</v>
      </c>
      <c r="L1826" s="2" t="str">
        <f>HYPERLINK("https://www.nba.com/game/...-vs-...-0021600994/play-by-play?watchFullGame=true", "SAS vs ATL - Q3 07:51.00")</f>
        <v>SAS vs ATL - Q3 07:51.00</v>
      </c>
      <c r="M1826">
        <v>17</v>
      </c>
      <c r="N1826">
        <v>-138</v>
      </c>
      <c r="O1826">
        <v>95</v>
      </c>
      <c r="P1826">
        <v>-138</v>
      </c>
      <c r="Q1826">
        <v>95</v>
      </c>
      <c r="R1826" t="s">
        <v>0</v>
      </c>
      <c r="S1826" t="s">
        <v>0</v>
      </c>
      <c r="T1826" t="s">
        <v>0</v>
      </c>
    </row>
    <row r="1827" spans="1:20" x14ac:dyDescent="0.25">
      <c r="A1827">
        <v>21601086</v>
      </c>
      <c r="B1827" t="s">
        <v>4</v>
      </c>
      <c r="C1827" t="s">
        <v>23</v>
      </c>
      <c r="D1827">
        <v>105</v>
      </c>
      <c r="E1827">
        <v>81</v>
      </c>
      <c r="F1827">
        <v>24</v>
      </c>
      <c r="G1827">
        <v>4</v>
      </c>
      <c r="H1827" s="1">
        <v>5.4166666666666669E-3</v>
      </c>
      <c r="I1827">
        <v>2016</v>
      </c>
      <c r="J1827" t="s">
        <v>12</v>
      </c>
      <c r="K1827" s="2" t="str">
        <f>HYPERLINK("https://www.nba.com/stats/events?CFID=&amp;CFPARAMS=&amp;GameEventID=402&amp;GameID=0021601086&amp;Season=2016-17&amp;flag=1&amp;title=Turner%202'%20Driving%20Layup%20(8%20PTS)%20(Leonard%202%20AST)", "Turner 2' Driving Layup (8 PTS) (Leonard 2 AST)")</f>
        <v>Turner 2' Driving Layup (8 PTS) (Leonard 2 AST)</v>
      </c>
      <c r="L1827" s="2" t="str">
        <f>HYPERLINK("https://www.nba.com/game/...-vs-...-0021601086/play-by-play?watchFullGame=true", "POR vs MIN - Q4 07:48.00")</f>
        <v>POR vs MIN - Q4 07:48.00</v>
      </c>
      <c r="M1827">
        <v>2</v>
      </c>
      <c r="N1827">
        <v>20</v>
      </c>
      <c r="O1827">
        <v>8</v>
      </c>
      <c r="P1827">
        <v>20</v>
      </c>
      <c r="Q1827">
        <v>8</v>
      </c>
      <c r="R1827" t="s">
        <v>0</v>
      </c>
      <c r="S1827" t="s">
        <v>0</v>
      </c>
      <c r="T1827" t="s">
        <v>0</v>
      </c>
    </row>
    <row r="1828" spans="1:20" x14ac:dyDescent="0.25">
      <c r="A1828">
        <v>21601151</v>
      </c>
      <c r="B1828" t="s">
        <v>10</v>
      </c>
      <c r="C1828" t="s">
        <v>9</v>
      </c>
      <c r="D1828">
        <v>30</v>
      </c>
      <c r="E1828">
        <v>25</v>
      </c>
      <c r="F1828">
        <v>5</v>
      </c>
      <c r="G1828">
        <v>1</v>
      </c>
      <c r="H1828" s="1">
        <v>1.0648148148148149E-3</v>
      </c>
      <c r="I1828">
        <v>2016</v>
      </c>
      <c r="J1828" t="s">
        <v>7</v>
      </c>
      <c r="K1828" s="2" t="str">
        <f>HYPERLINK("https://www.nba.com/stats/events?CFID=&amp;CFPARAMS=&amp;GameEventID=87&amp;GameID=0021601151&amp;Season=2016-17&amp;flag=1&amp;title=Gasol%2025'%203PT%20Jump%20Shot%20(3%20PTS)%20(Leonard%205%20AST)", "Gasol 25' 3PT Jump Shot (3 PTS) (Leonard 5 AST)")</f>
        <v>Gasol 25' 3PT Jump Shot (3 PTS) (Leonard 5 AST)</v>
      </c>
      <c r="L1828" s="2" t="str">
        <f>HYPERLINK("https://www.nba.com/game/...-vs-...-0021601151/play-by-play?watchFullGame=true", "SAS vs UTA - Q1 01:32.00")</f>
        <v>SAS vs UTA - Q1 01:32.00</v>
      </c>
      <c r="M1828">
        <v>25</v>
      </c>
      <c r="N1828">
        <v>-6</v>
      </c>
      <c r="O1828">
        <v>252</v>
      </c>
      <c r="P1828">
        <v>-6</v>
      </c>
      <c r="Q1828">
        <v>252</v>
      </c>
      <c r="R1828" t="s">
        <v>0</v>
      </c>
      <c r="S1828" t="s">
        <v>0</v>
      </c>
      <c r="T1828" t="s">
        <v>0</v>
      </c>
    </row>
    <row r="1829" spans="1:20" x14ac:dyDescent="0.25">
      <c r="A1829">
        <v>21601170</v>
      </c>
      <c r="B1829" t="s">
        <v>4</v>
      </c>
      <c r="C1829" t="s">
        <v>38</v>
      </c>
      <c r="D1829">
        <v>16</v>
      </c>
      <c r="E1829">
        <v>40</v>
      </c>
      <c r="F1829">
        <v>24</v>
      </c>
      <c r="G1829">
        <v>2</v>
      </c>
      <c r="H1829" s="1">
        <v>7.013888888888889E-3</v>
      </c>
      <c r="I1829">
        <v>2016</v>
      </c>
      <c r="J1829" t="s">
        <v>7</v>
      </c>
      <c r="K1829" s="2" t="str">
        <f>HYPERLINK("https://www.nba.com/stats/events?CFID=&amp;CFPARAMS=&amp;GameEventID=123&amp;GameID=0021601170&amp;Season=2016-17&amp;flag=1&amp;title=Bertans%20%20Dunk%20(2%20PTS)%20(Leonard%202%20AST)", "Bertans  Dunk (2 PTS) (Leonard 2 AST)")</f>
        <v>Bertans  Dunk (2 PTS) (Leonard 2 AST)</v>
      </c>
      <c r="L1829" s="2" t="str">
        <f>HYPERLINK("https://www.nba.com/game/...-vs-...-0021601170/play-by-play?watchFullGame=true", "SAS vs LAL - Q2 10:06.00")</f>
        <v>SAS vs LAL - Q2 10:06.00</v>
      </c>
      <c r="M1829">
        <v>0</v>
      </c>
      <c r="N1829">
        <v>0</v>
      </c>
      <c r="O1829">
        <v>1</v>
      </c>
      <c r="P1829">
        <v>0</v>
      </c>
      <c r="Q1829">
        <v>1</v>
      </c>
      <c r="R1829" t="s">
        <v>0</v>
      </c>
      <c r="S1829" t="s">
        <v>0</v>
      </c>
      <c r="T1829" t="s">
        <v>0</v>
      </c>
    </row>
    <row r="1830" spans="1:20" x14ac:dyDescent="0.25">
      <c r="A1830">
        <v>21700428</v>
      </c>
      <c r="B1830" t="s">
        <v>10</v>
      </c>
      <c r="C1830" t="s">
        <v>9</v>
      </c>
      <c r="D1830">
        <v>40</v>
      </c>
      <c r="E1830">
        <v>57</v>
      </c>
      <c r="F1830">
        <v>17</v>
      </c>
      <c r="G1830">
        <v>2</v>
      </c>
      <c r="H1830" s="1">
        <v>1.3888888888888889E-3</v>
      </c>
      <c r="I1830">
        <v>2017</v>
      </c>
      <c r="J1830" t="s">
        <v>7</v>
      </c>
      <c r="K1830" s="2" t="str">
        <f>HYPERLINK("https://www.nba.com/stats/events?CFID=&amp;CFPARAMS=&amp;GameEventID=288&amp;GameID=0021700428&amp;Season=2017-18&amp;flag=1&amp;title=Mills%203PT%20Jump%20Shot%20(5%20PTS)%20(Leonard%201%20AST)", "Mills 3PT Jump Shot (5 PTS) (Leonard 1 AST)")</f>
        <v>Mills 3PT Jump Shot (5 PTS) (Leonard 1 AST)</v>
      </c>
      <c r="L1830" s="2" t="str">
        <f>HYPERLINK("https://www.nba.com/game/...-vs-...-0021700428/play-by-play?watchFullGame=true", "SAS vs HOU - Q2 02:00.00")</f>
        <v>SAS vs HOU - Q2 02:00.00</v>
      </c>
      <c r="M1830">
        <v>0</v>
      </c>
      <c r="N1830">
        <v>234</v>
      </c>
      <c r="O1830">
        <v>6</v>
      </c>
      <c r="P1830">
        <v>234</v>
      </c>
      <c r="Q1830">
        <v>6</v>
      </c>
      <c r="R1830" t="s">
        <v>0</v>
      </c>
      <c r="S1830" t="s">
        <v>0</v>
      </c>
      <c r="T1830" t="s">
        <v>0</v>
      </c>
    </row>
    <row r="1831" spans="1:20" x14ac:dyDescent="0.25">
      <c r="A1831">
        <v>21700633</v>
      </c>
      <c r="B1831" t="s">
        <v>10</v>
      </c>
      <c r="C1831" t="s">
        <v>9</v>
      </c>
      <c r="D1831">
        <v>73</v>
      </c>
      <c r="E1831">
        <v>55</v>
      </c>
      <c r="F1831">
        <v>18</v>
      </c>
      <c r="G1831">
        <v>3</v>
      </c>
      <c r="H1831" s="1">
        <v>3.5648148148148149E-3</v>
      </c>
      <c r="I1831">
        <v>2017</v>
      </c>
      <c r="J1831" t="s">
        <v>7</v>
      </c>
      <c r="K1831" s="2" t="str">
        <f>HYPERLINK("https://www.nba.com/stats/events?CFID=&amp;CFPARAMS=&amp;GameEventID=385&amp;GameID=0021700633&amp;Season=2017-18&amp;flag=1&amp;title=Parker%203PT%20Jump%20Shot%20(5%20PTS)%20(Leonard%204%20AST)", "Parker 3PT Jump Shot (5 PTS) (Leonard 4 AST)")</f>
        <v>Parker 3PT Jump Shot (5 PTS) (Leonard 4 AST)</v>
      </c>
      <c r="L1831" s="2" t="str">
        <f>HYPERLINK("https://www.nba.com/game/...-vs-...-0021700633/play-by-play?watchFullGame=true", "SAS vs DEN - Q3 05:08.00")</f>
        <v>SAS vs DEN - Q3 05:08.00</v>
      </c>
      <c r="M1831">
        <v>0</v>
      </c>
      <c r="N1831">
        <v>-231</v>
      </c>
      <c r="O1831">
        <v>-10</v>
      </c>
      <c r="P1831">
        <v>-231</v>
      </c>
      <c r="Q1831">
        <v>-10</v>
      </c>
      <c r="R1831" t="s">
        <v>0</v>
      </c>
      <c r="S1831" t="s">
        <v>0</v>
      </c>
      <c r="T1831" t="s">
        <v>0</v>
      </c>
    </row>
    <row r="1832" spans="1:20" x14ac:dyDescent="0.25">
      <c r="A1832">
        <v>21800016</v>
      </c>
      <c r="B1832" t="s">
        <v>10</v>
      </c>
      <c r="C1832" t="s">
        <v>9</v>
      </c>
      <c r="D1832">
        <v>79</v>
      </c>
      <c r="E1832">
        <v>72</v>
      </c>
      <c r="F1832">
        <v>7</v>
      </c>
      <c r="G1832">
        <v>3</v>
      </c>
      <c r="H1832" s="1">
        <v>4.4907407407407405E-3</v>
      </c>
      <c r="I1832">
        <v>2018</v>
      </c>
      <c r="J1832" t="s">
        <v>12</v>
      </c>
      <c r="K1832" s="2" t="str">
        <f>HYPERLINK("https://www.nba.com/stats/events?CFID=&amp;CFPARAMS=&amp;GameEventID=443&amp;GameID=0021800016&amp;Season=2018-19&amp;flag=1&amp;title=Lillard%203PT%20Jump%20Shot%20(18%20PTS)%20(Leonard%204%20AST)", "Lillard 3PT Jump Shot (18 PTS) (Leonard 4 AST)")</f>
        <v>Lillard 3PT Jump Shot (18 PTS) (Leonard 4 AST)</v>
      </c>
      <c r="L1832" s="2" t="str">
        <f>HYPERLINK("https://www.nba.com/game/...-vs-...-0021800016/play-by-play?watchFullGame=true", "POR vs LAL - Q3 06:28.00")</f>
        <v>POR vs LAL - Q3 06:28.00</v>
      </c>
      <c r="M1832">
        <v>0</v>
      </c>
      <c r="N1832">
        <v>-223</v>
      </c>
      <c r="O1832">
        <v>50</v>
      </c>
      <c r="P1832">
        <v>-223</v>
      </c>
      <c r="Q1832">
        <v>50</v>
      </c>
      <c r="R1832" t="s">
        <v>0</v>
      </c>
      <c r="S1832" t="s">
        <v>0</v>
      </c>
      <c r="T1832" t="s">
        <v>0</v>
      </c>
    </row>
    <row r="1833" spans="1:20" x14ac:dyDescent="0.25">
      <c r="A1833">
        <v>21400354</v>
      </c>
      <c r="B1833" t="s">
        <v>4</v>
      </c>
      <c r="C1833" t="s">
        <v>26</v>
      </c>
      <c r="D1833">
        <v>94</v>
      </c>
      <c r="E1833">
        <v>84</v>
      </c>
      <c r="F1833">
        <v>10</v>
      </c>
      <c r="G1833">
        <v>4</v>
      </c>
      <c r="H1833" s="1">
        <v>1.3888888888888889E-3</v>
      </c>
      <c r="I1833">
        <v>2014</v>
      </c>
      <c r="J1833" t="s">
        <v>7</v>
      </c>
      <c r="K1833" s="2" t="str">
        <f>HYPERLINK("https://www.nba.com/stats/events?CFID=&amp;CFPARAMS=&amp;GameEventID=532&amp;GameID=0021400354&amp;Season=2014-15&amp;flag=1&amp;title=Joseph%202'%20Reverse%20Layup%20(13%20PTS)%20(Leonard%204%20AST)", "Joseph 2' Reverse Layup (13 PTS) (Leonard 4 AST)")</f>
        <v>Joseph 2' Reverse Layup (13 PTS) (Leonard 4 AST)</v>
      </c>
      <c r="L1833" s="2" t="str">
        <f>HYPERLINK("https://www.nba.com/game/...-vs-...-0021400354/play-by-play?watchFullGame=true", "SAS vs DEN - Q4 02:00.00")</f>
        <v>SAS vs DEN - Q4 02:00.00</v>
      </c>
      <c r="M1833">
        <v>2</v>
      </c>
      <c r="N1833">
        <v>20</v>
      </c>
      <c r="O1833">
        <v>6</v>
      </c>
      <c r="P1833">
        <v>20</v>
      </c>
      <c r="Q1833">
        <v>6</v>
      </c>
      <c r="R1833" t="s">
        <v>0</v>
      </c>
      <c r="S1833" t="s">
        <v>0</v>
      </c>
      <c r="T1833" t="s">
        <v>0</v>
      </c>
    </row>
    <row r="1834" spans="1:20" x14ac:dyDescent="0.25">
      <c r="A1834">
        <v>21400610</v>
      </c>
      <c r="B1834" t="s">
        <v>4</v>
      </c>
      <c r="C1834" t="s">
        <v>5</v>
      </c>
      <c r="D1834">
        <v>25</v>
      </c>
      <c r="E1834">
        <v>18</v>
      </c>
      <c r="F1834">
        <v>7</v>
      </c>
      <c r="G1834">
        <v>2</v>
      </c>
      <c r="H1834" s="1">
        <v>6.7129629629629631E-3</v>
      </c>
      <c r="I1834">
        <v>2014</v>
      </c>
      <c r="J1834" t="s">
        <v>7</v>
      </c>
      <c r="K1834" s="2" t="str">
        <f>HYPERLINK("https://www.nba.com/stats/events?CFID=&amp;CFPARAMS=&amp;GameEventID=140&amp;GameID=0021400610&amp;Season=2014-15&amp;flag=1&amp;title=Baynes%203'%20Layup%20(2%20PTS)%20(Leonard%201%20AST)", "Baynes 3' Layup (2 PTS) (Leonard 1 AST)")</f>
        <v>Baynes 3' Layup (2 PTS) (Leonard 1 AST)</v>
      </c>
      <c r="L1834" s="2" t="str">
        <f>HYPERLINK("https://www.nba.com/game/...-vs-...-0021400610/play-by-play?watchFullGame=true", "SAS vs UTA - Q2 09:40.00")</f>
        <v>SAS vs UTA - Q2 09:40.00</v>
      </c>
      <c r="M1834">
        <v>3</v>
      </c>
      <c r="N1834">
        <v>10</v>
      </c>
      <c r="O1834">
        <v>33</v>
      </c>
      <c r="P1834">
        <v>10</v>
      </c>
      <c r="Q1834">
        <v>33</v>
      </c>
      <c r="R1834" t="s">
        <v>0</v>
      </c>
      <c r="S1834" t="s">
        <v>0</v>
      </c>
      <c r="T1834" t="s">
        <v>0</v>
      </c>
    </row>
    <row r="1835" spans="1:20" x14ac:dyDescent="0.25">
      <c r="A1835">
        <v>21400668</v>
      </c>
      <c r="B1835" t="s">
        <v>10</v>
      </c>
      <c r="C1835" t="s">
        <v>9</v>
      </c>
      <c r="D1835">
        <v>36</v>
      </c>
      <c r="E1835">
        <v>45</v>
      </c>
      <c r="F1835">
        <v>9</v>
      </c>
      <c r="G1835">
        <v>2</v>
      </c>
      <c r="H1835" s="1">
        <v>2.5462962962962965E-3</v>
      </c>
      <c r="I1835">
        <v>2014</v>
      </c>
      <c r="J1835" t="s">
        <v>12</v>
      </c>
      <c r="K1835" s="2" t="str">
        <f>HYPERLINK("https://www.nba.com/stats/events?CFID=&amp;CFPARAMS=&amp;GameEventID=218&amp;GameID=0021400668&amp;Season=2014-15&amp;flag=1&amp;title=Afflalo%2025'%203PT%20Jump%20Shot%20(5%20PTS)%20(Leonard%203%20AST)", "Afflalo 25' 3PT Jump Shot (5 PTS) (Leonard 3 AST)")</f>
        <v>Afflalo 25' 3PT Jump Shot (5 PTS) (Leonard 3 AST)</v>
      </c>
      <c r="L1835" s="2" t="str">
        <f>HYPERLINK("https://www.nba.com/game/...-vs-...-0021400668/play-by-play?watchFullGame=true", "POR vs BKN - Q2 03:40.00")</f>
        <v>POR vs BKN - Q2 03:40.00</v>
      </c>
      <c r="M1835">
        <v>25</v>
      </c>
      <c r="N1835">
        <v>-106</v>
      </c>
      <c r="O1835">
        <v>222</v>
      </c>
      <c r="P1835">
        <v>-106</v>
      </c>
      <c r="Q1835">
        <v>222</v>
      </c>
      <c r="R1835" t="s">
        <v>0</v>
      </c>
      <c r="S1835" t="s">
        <v>0</v>
      </c>
      <c r="T1835" t="s">
        <v>0</v>
      </c>
    </row>
    <row r="1836" spans="1:20" x14ac:dyDescent="0.25">
      <c r="A1836">
        <v>21400739</v>
      </c>
      <c r="B1836" t="s">
        <v>4</v>
      </c>
      <c r="C1836" t="s">
        <v>26</v>
      </c>
      <c r="D1836">
        <v>93</v>
      </c>
      <c r="E1836">
        <v>84</v>
      </c>
      <c r="F1836">
        <v>9</v>
      </c>
      <c r="G1836">
        <v>4</v>
      </c>
      <c r="H1836" s="1">
        <v>4.6412037037037038E-3</v>
      </c>
      <c r="I1836">
        <v>2014</v>
      </c>
      <c r="J1836" t="s">
        <v>7</v>
      </c>
      <c r="K1836" s="2" t="str">
        <f>HYPERLINK("https://www.nba.com/stats/events?CFID=&amp;CFPARAMS=&amp;GameEventID=371&amp;GameID=0021400739&amp;Season=2014-15&amp;flag=1&amp;title=Belinelli%201'%20Reverse%20Layup%20(11%20PTS)%20(Leonard%205%20AST)", "Belinelli 1' Reverse Layup (11 PTS) (Leonard 5 AST)")</f>
        <v>Belinelli 1' Reverse Layup (11 PTS) (Leonard 5 AST)</v>
      </c>
      <c r="L1836" s="2" t="str">
        <f>HYPERLINK("https://www.nba.com/game/...-vs-...-0021400739/play-by-play?watchFullGame=true", "SAS vs ORL - Q4 06:41.00")</f>
        <v>SAS vs ORL - Q4 06:41.00</v>
      </c>
      <c r="M1836">
        <v>1</v>
      </c>
      <c r="N1836">
        <v>-8</v>
      </c>
      <c r="O1836">
        <v>3</v>
      </c>
      <c r="P1836">
        <v>-8</v>
      </c>
      <c r="Q1836">
        <v>3</v>
      </c>
      <c r="R1836" t="s">
        <v>0</v>
      </c>
      <c r="S1836" t="s">
        <v>0</v>
      </c>
      <c r="T1836" t="s">
        <v>0</v>
      </c>
    </row>
    <row r="1837" spans="1:20" x14ac:dyDescent="0.25">
      <c r="A1837">
        <v>21400802</v>
      </c>
      <c r="B1837" t="s">
        <v>10</v>
      </c>
      <c r="C1837" t="s">
        <v>9</v>
      </c>
      <c r="D1837">
        <v>37</v>
      </c>
      <c r="E1837">
        <v>38</v>
      </c>
      <c r="F1837">
        <v>1</v>
      </c>
      <c r="G1837">
        <v>2</v>
      </c>
      <c r="H1837" s="1">
        <v>3.5879629629629629E-3</v>
      </c>
      <c r="I1837">
        <v>2014</v>
      </c>
      <c r="J1837" t="s">
        <v>7</v>
      </c>
      <c r="K1837" s="2" t="str">
        <f>HYPERLINK("https://www.nba.com/stats/events?CFID=&amp;CFPARAMS=&amp;GameEventID=184&amp;GameID=0021400802&amp;Season=2014-15&amp;flag=1&amp;title=Parker%2026'%203PT%20Jump%20Shot%20(7%20PTS)%20(Leonard%203%20AST)", "Parker 26' 3PT Jump Shot (7 PTS) (Leonard 3 AST)")</f>
        <v>Parker 26' 3PT Jump Shot (7 PTS) (Leonard 3 AST)</v>
      </c>
      <c r="L1837" s="2" t="str">
        <f>HYPERLINK("https://www.nba.com/game/...-vs-...-0021400802/play-by-play?watchFullGame=true", "SAS vs LAC - Q2 05:10.00")</f>
        <v>SAS vs LAC - Q2 05:10.00</v>
      </c>
      <c r="M1837">
        <v>26</v>
      </c>
      <c r="N1837">
        <v>184</v>
      </c>
      <c r="O1837">
        <v>186</v>
      </c>
      <c r="P1837">
        <v>184</v>
      </c>
      <c r="Q1837">
        <v>186</v>
      </c>
      <c r="R1837" t="s">
        <v>0</v>
      </c>
      <c r="S1837" t="s">
        <v>0</v>
      </c>
      <c r="T1837" t="s">
        <v>0</v>
      </c>
    </row>
    <row r="1838" spans="1:20" x14ac:dyDescent="0.25">
      <c r="A1838">
        <v>21401020</v>
      </c>
      <c r="B1838" t="s">
        <v>4</v>
      </c>
      <c r="C1838" t="s">
        <v>9</v>
      </c>
      <c r="D1838">
        <v>102</v>
      </c>
      <c r="E1838">
        <v>109</v>
      </c>
      <c r="F1838">
        <v>7</v>
      </c>
      <c r="G1838">
        <v>4</v>
      </c>
      <c r="H1838" s="1">
        <v>1.25E-4</v>
      </c>
      <c r="I1838">
        <v>2014</v>
      </c>
      <c r="J1838" t="s">
        <v>12</v>
      </c>
      <c r="K1838" s="2" t="str">
        <f>HYPERLINK("https://www.nba.com/stats/events?CFID=&amp;CFPARAMS=&amp;GameEventID=551&amp;GameID=0021401020&amp;Season=2014-15&amp;flag=1&amp;title=Crabbe%207'%20Jump%20Shot%20(2%20PTS)%20(Leonard%201%20AST)", "Crabbe 7' Jump Shot (2 PTS) (Leonard 1 AST)")</f>
        <v>Crabbe 7' Jump Shot (2 PTS) (Leonard 1 AST)</v>
      </c>
      <c r="L1838" s="2" t="str">
        <f>HYPERLINK("https://www.nba.com/game/...-vs-...-0021401020/play-by-play?watchFullGame=true", "POR vs ORL - Q4 00:10.80")</f>
        <v>POR vs ORL - Q4 00:10.80</v>
      </c>
      <c r="M1838">
        <v>7</v>
      </c>
      <c r="N1838">
        <v>62</v>
      </c>
      <c r="O1838">
        <v>42</v>
      </c>
      <c r="P1838">
        <v>62</v>
      </c>
      <c r="Q1838">
        <v>42</v>
      </c>
      <c r="R1838" t="s">
        <v>0</v>
      </c>
      <c r="S1838" t="s">
        <v>0</v>
      </c>
      <c r="T1838" t="s">
        <v>0</v>
      </c>
    </row>
    <row r="1839" spans="1:20" x14ac:dyDescent="0.25">
      <c r="A1839">
        <v>21401150</v>
      </c>
      <c r="B1839" t="s">
        <v>4</v>
      </c>
      <c r="C1839" t="s">
        <v>5</v>
      </c>
      <c r="D1839">
        <v>57</v>
      </c>
      <c r="E1839">
        <v>34</v>
      </c>
      <c r="F1839">
        <v>23</v>
      </c>
      <c r="G1839">
        <v>2</v>
      </c>
      <c r="H1839" s="1">
        <v>9.4907407407407408E-4</v>
      </c>
      <c r="I1839">
        <v>2014</v>
      </c>
      <c r="J1839" t="s">
        <v>7</v>
      </c>
      <c r="K1839" s="2" t="str">
        <f>HYPERLINK("https://www.nba.com/stats/events?CFID=&amp;CFPARAMS=&amp;GameEventID=224&amp;GameID=0021401150&amp;Season=2014-15&amp;flag=1&amp;title=Green%201'%20Layup%20(16%20PTS)%20(Leonard%203%20AST)", "Green 1' Layup (16 PTS) (Leonard 3 AST)")</f>
        <v>Green 1' Layup (16 PTS) (Leonard 3 AST)</v>
      </c>
      <c r="L1839" s="2" t="str">
        <f>HYPERLINK("https://www.nba.com/game/...-vs-...-0021401150/play-by-play?watchFullGame=true", "SAS vs GSW - Q2 01:22.00")</f>
        <v>SAS vs GSW - Q2 01:22.00</v>
      </c>
      <c r="M1839">
        <v>1</v>
      </c>
      <c r="N1839">
        <v>0</v>
      </c>
      <c r="O1839">
        <v>14</v>
      </c>
      <c r="P1839">
        <v>0</v>
      </c>
      <c r="Q1839">
        <v>14</v>
      </c>
      <c r="R1839" t="s">
        <v>0</v>
      </c>
      <c r="S1839" t="s">
        <v>0</v>
      </c>
      <c r="T1839" t="s">
        <v>0</v>
      </c>
    </row>
    <row r="1840" spans="1:20" x14ac:dyDescent="0.25">
      <c r="A1840">
        <v>21401168</v>
      </c>
      <c r="B1840" t="s">
        <v>4</v>
      </c>
      <c r="C1840" t="s">
        <v>26</v>
      </c>
      <c r="D1840">
        <v>49</v>
      </c>
      <c r="E1840">
        <v>49</v>
      </c>
      <c r="F1840">
        <v>0</v>
      </c>
      <c r="G1840">
        <v>2</v>
      </c>
      <c r="H1840" s="1">
        <v>2.5347222222222221E-3</v>
      </c>
      <c r="I1840">
        <v>2014</v>
      </c>
      <c r="J1840" t="s">
        <v>7</v>
      </c>
      <c r="K1840" s="2" t="str">
        <f>HYPERLINK("https://www.nba.com/stats/events?CFID=&amp;CFPARAMS=&amp;GameEventID=213&amp;GameID=0021401168&amp;Season=2014-15&amp;flag=1&amp;title=Parker%201'%20Reverse%20Layup%20(15%20PTS)%20(Leonard%201%20AST)", "Parker 1' Reverse Layup (15 PTS) (Leonard 1 AST)")</f>
        <v>Parker 1' Reverse Layup (15 PTS) (Leonard 1 AST)</v>
      </c>
      <c r="L1840" s="2" t="str">
        <f>HYPERLINK("https://www.nba.com/game/...-vs-...-0021401168/play-by-play?watchFullGame=true", "SAS vs HOU - Q2 03:39.00")</f>
        <v>SAS vs HOU - Q2 03:39.00</v>
      </c>
      <c r="M1840">
        <v>1</v>
      </c>
      <c r="N1840">
        <v>2</v>
      </c>
      <c r="O1840">
        <v>9</v>
      </c>
      <c r="P1840">
        <v>2</v>
      </c>
      <c r="Q1840">
        <v>9</v>
      </c>
      <c r="R1840" t="s">
        <v>0</v>
      </c>
      <c r="S1840" t="s">
        <v>0</v>
      </c>
      <c r="T1840" t="s">
        <v>0</v>
      </c>
    </row>
    <row r="1841" spans="1:20" x14ac:dyDescent="0.25">
      <c r="A1841">
        <v>21600782</v>
      </c>
      <c r="B1841" t="s">
        <v>4</v>
      </c>
      <c r="C1841" t="s">
        <v>9</v>
      </c>
      <c r="D1841">
        <v>76</v>
      </c>
      <c r="E1841">
        <v>64</v>
      </c>
      <c r="F1841">
        <v>12</v>
      </c>
      <c r="G1841">
        <v>3</v>
      </c>
      <c r="H1841" s="1">
        <v>2.8240740740740739E-3</v>
      </c>
      <c r="I1841">
        <v>2016</v>
      </c>
      <c r="J1841" t="s">
        <v>7</v>
      </c>
      <c r="K1841" s="2" t="str">
        <f>HYPERLINK("https://www.nba.com/stats/events?CFID=&amp;CFPARAMS=&amp;GameEventID=316&amp;GameID=0021600782&amp;Season=2016-17&amp;flag=1&amp;title=Aldridge%2013'%20Jump%20Shot%20(11%20PTS)%20(Leonard%204%20AST)", "Aldridge 13' Jump Shot (11 PTS) (Leonard 4 AST)")</f>
        <v>Aldridge 13' Jump Shot (11 PTS) (Leonard 4 AST)</v>
      </c>
      <c r="L1841" s="2" t="str">
        <f>HYPERLINK("https://www.nba.com/game/...-vs-...-0021600782/play-by-play?watchFullGame=true", "SAS vs PHI - Q3 04:04.00")</f>
        <v>SAS vs PHI - Q3 04:04.00</v>
      </c>
      <c r="M1841">
        <v>13</v>
      </c>
      <c r="N1841">
        <v>105</v>
      </c>
      <c r="O1841">
        <v>77</v>
      </c>
      <c r="P1841">
        <v>105</v>
      </c>
      <c r="Q1841">
        <v>77</v>
      </c>
      <c r="R1841" t="s">
        <v>0</v>
      </c>
      <c r="S1841" t="s">
        <v>0</v>
      </c>
      <c r="T1841" t="s">
        <v>0</v>
      </c>
    </row>
    <row r="1842" spans="1:20" x14ac:dyDescent="0.25">
      <c r="A1842">
        <v>21600825</v>
      </c>
      <c r="B1842" t="s">
        <v>10</v>
      </c>
      <c r="C1842" t="s">
        <v>9</v>
      </c>
      <c r="D1842">
        <v>37</v>
      </c>
      <c r="E1842">
        <v>42</v>
      </c>
      <c r="F1842">
        <v>5</v>
      </c>
      <c r="G1842">
        <v>2</v>
      </c>
      <c r="H1842" s="1">
        <v>3.9699074074074072E-3</v>
      </c>
      <c r="I1842">
        <v>2016</v>
      </c>
      <c r="J1842" t="s">
        <v>7</v>
      </c>
      <c r="K1842" s="2" t="str">
        <f>HYPERLINK("https://www.nba.com/stats/events?CFID=&amp;CFPARAMS=&amp;GameEventID=178&amp;GameID=0021600825&amp;Season=2016-17&amp;flag=1&amp;title=Green%2025'%203PT%20Jump%20Shot%20(5%20PTS)%20(Leonard%201%20AST)", "Green 25' 3PT Jump Shot (5 PTS) (Leonard 1 AST)")</f>
        <v>Green 25' 3PT Jump Shot (5 PTS) (Leonard 1 AST)</v>
      </c>
      <c r="L1842" s="2" t="str">
        <f>HYPERLINK("https://www.nba.com/game/...-vs-...-0021600825/play-by-play?watchFullGame=true", "SAS vs IND - Q2 05:43.00")</f>
        <v>SAS vs IND - Q2 05:43.00</v>
      </c>
      <c r="M1842">
        <v>25</v>
      </c>
      <c r="N1842">
        <v>148</v>
      </c>
      <c r="O1842">
        <v>198</v>
      </c>
      <c r="P1842">
        <v>148</v>
      </c>
      <c r="Q1842">
        <v>198</v>
      </c>
      <c r="R1842" t="s">
        <v>0</v>
      </c>
      <c r="S1842" t="s">
        <v>0</v>
      </c>
      <c r="T1842" t="s">
        <v>0</v>
      </c>
    </row>
    <row r="1843" spans="1:20" x14ac:dyDescent="0.25">
      <c r="A1843">
        <v>21601011</v>
      </c>
      <c r="B1843" t="s">
        <v>10</v>
      </c>
      <c r="C1843" t="s">
        <v>9</v>
      </c>
      <c r="D1843">
        <v>89</v>
      </c>
      <c r="E1843">
        <v>88</v>
      </c>
      <c r="F1843">
        <v>1</v>
      </c>
      <c r="G1843">
        <v>4</v>
      </c>
      <c r="H1843" s="1">
        <v>5.6134259259259262E-3</v>
      </c>
      <c r="I1843">
        <v>2016</v>
      </c>
      <c r="J1843" t="s">
        <v>7</v>
      </c>
      <c r="K1843" s="2" t="str">
        <f>HYPERLINK("https://www.nba.com/stats/events?CFID=&amp;CFPARAMS=&amp;GameEventID=398&amp;GameID=0021601011&amp;Season=2016-17&amp;flag=1&amp;title=Mills%2024'%203PT%20Jump%20Shot%20(10%20PTS)%20(Leonard%206%20AST)", "Mills 24' 3PT Jump Shot (10 PTS) (Leonard 6 AST)")</f>
        <v>Mills 24' 3PT Jump Shot (10 PTS) (Leonard 6 AST)</v>
      </c>
      <c r="L1843" s="2" t="str">
        <f>HYPERLINK("https://www.nba.com/game/...-vs-...-0021601011/play-by-play?watchFullGame=true", "SAS vs POR - Q4 08:05.00")</f>
        <v>SAS vs POR - Q4 08:05.00</v>
      </c>
      <c r="M1843">
        <v>24</v>
      </c>
      <c r="N1843">
        <v>-235</v>
      </c>
      <c r="O1843">
        <v>-24</v>
      </c>
      <c r="P1843">
        <v>-235</v>
      </c>
      <c r="Q1843">
        <v>-24</v>
      </c>
      <c r="R1843" t="s">
        <v>0</v>
      </c>
      <c r="S1843" t="s">
        <v>0</v>
      </c>
      <c r="T1843" t="s">
        <v>0</v>
      </c>
    </row>
    <row r="1844" spans="1:20" x14ac:dyDescent="0.25">
      <c r="A1844">
        <v>21601085</v>
      </c>
      <c r="B1844" t="s">
        <v>10</v>
      </c>
      <c r="C1844" t="s">
        <v>9</v>
      </c>
      <c r="D1844">
        <v>24</v>
      </c>
      <c r="E1844">
        <v>16</v>
      </c>
      <c r="F1844">
        <v>8</v>
      </c>
      <c r="G1844">
        <v>1</v>
      </c>
      <c r="H1844" s="1">
        <v>2.7546296296296294E-3</v>
      </c>
      <c r="I1844">
        <v>2016</v>
      </c>
      <c r="J1844" t="s">
        <v>7</v>
      </c>
      <c r="K1844" s="2" t="str">
        <f>HYPERLINK("https://www.nba.com/stats/events?CFID=&amp;CFPARAMS=&amp;GameEventID=72&amp;GameID=0021601085&amp;Season=2016-17&amp;flag=1&amp;title=Gasol%2025'%203PT%20Jump%20Shot%20(3%20PTS)%20(Leonard%201%20AST)", "Gasol 25' 3PT Jump Shot (3 PTS) (Leonard 1 AST)")</f>
        <v>Gasol 25' 3PT Jump Shot (3 PTS) (Leonard 1 AST)</v>
      </c>
      <c r="L1844" s="2" t="str">
        <f>HYPERLINK("https://www.nba.com/game/...-vs-...-0021601085/play-by-play?watchFullGame=true", "SAS vs NYK - Q1 03:58.00")</f>
        <v>SAS vs NYK - Q1 03:58.00</v>
      </c>
      <c r="M1844">
        <v>25</v>
      </c>
      <c r="N1844">
        <v>87</v>
      </c>
      <c r="O1844">
        <v>232</v>
      </c>
      <c r="P1844">
        <v>87</v>
      </c>
      <c r="Q1844">
        <v>232</v>
      </c>
      <c r="R1844" t="s">
        <v>0</v>
      </c>
      <c r="S1844" t="s">
        <v>0</v>
      </c>
      <c r="T1844" t="s">
        <v>0</v>
      </c>
    </row>
    <row r="1845" spans="1:20" x14ac:dyDescent="0.25">
      <c r="A1845">
        <v>21601099</v>
      </c>
      <c r="B1845" t="s">
        <v>4</v>
      </c>
      <c r="C1845" t="s">
        <v>20</v>
      </c>
      <c r="D1845">
        <v>11</v>
      </c>
      <c r="E1845">
        <v>8</v>
      </c>
      <c r="F1845">
        <v>3</v>
      </c>
      <c r="G1845">
        <v>1</v>
      </c>
      <c r="H1845" s="1">
        <v>4.6874999999999998E-3</v>
      </c>
      <c r="I1845">
        <v>2016</v>
      </c>
      <c r="J1845" t="s">
        <v>7</v>
      </c>
      <c r="K1845" s="2" t="str">
        <f>HYPERLINK("https://www.nba.com/stats/events?CFID=&amp;CFPARAMS=&amp;GameEventID=50&amp;GameID=0021601099&amp;Season=2016-17&amp;flag=1&amp;title=Parker%20Cutting%20Layup%20Shot%20(2%20PTS)%20(Leonard%202%20AST)", "Parker Cutting Layup Shot (2 PTS) (Leonard 2 AST)")</f>
        <v>Parker Cutting Layup Shot (2 PTS) (Leonard 2 AST)</v>
      </c>
      <c r="L1845" s="2" t="str">
        <f>HYPERLINK("https://www.nba.com/game/...-vs-...-0021601099/play-by-play?watchFullGame=true", "SAS vs CLE - Q1 06:45.00")</f>
        <v>SAS vs CLE - Q1 06:45.00</v>
      </c>
      <c r="M1845">
        <v>0</v>
      </c>
      <c r="N1845">
        <v>-2</v>
      </c>
      <c r="O1845">
        <v>2</v>
      </c>
      <c r="P1845">
        <v>-2</v>
      </c>
      <c r="Q1845">
        <v>2</v>
      </c>
      <c r="R1845" t="s">
        <v>0</v>
      </c>
      <c r="S1845" t="s">
        <v>0</v>
      </c>
      <c r="T1845" t="s">
        <v>0</v>
      </c>
    </row>
    <row r="1846" spans="1:20" x14ac:dyDescent="0.25">
      <c r="A1846">
        <v>21601151</v>
      </c>
      <c r="B1846" t="s">
        <v>10</v>
      </c>
      <c r="C1846" t="s">
        <v>9</v>
      </c>
      <c r="D1846">
        <v>26</v>
      </c>
      <c r="E1846">
        <v>22</v>
      </c>
      <c r="F1846">
        <v>4</v>
      </c>
      <c r="G1846">
        <v>1</v>
      </c>
      <c r="H1846" s="1">
        <v>1.6782407407407408E-3</v>
      </c>
      <c r="I1846">
        <v>2016</v>
      </c>
      <c r="J1846" t="s">
        <v>7</v>
      </c>
      <c r="K1846" s="2" t="str">
        <f>HYPERLINK("https://www.nba.com/stats/events?CFID=&amp;CFPARAMS=&amp;GameEventID=76&amp;GameID=0021601151&amp;Season=2016-17&amp;flag=1&amp;title=Forbes%2024'%203PT%20Jump%20Shot%20(3%20PTS)%20(Leonard%204%20AST)", "Forbes 24' 3PT Jump Shot (3 PTS) (Leonard 4 AST)")</f>
        <v>Forbes 24' 3PT Jump Shot (3 PTS) (Leonard 4 AST)</v>
      </c>
      <c r="L1846" s="2" t="str">
        <f>HYPERLINK("https://www.nba.com/game/...-vs-...-0021601151/play-by-play?watchFullGame=true", "SAS vs UTA - Q1 02:25.00")</f>
        <v>SAS vs UTA - Q1 02:25.00</v>
      </c>
      <c r="M1846">
        <v>24</v>
      </c>
      <c r="N1846">
        <v>-143</v>
      </c>
      <c r="O1846">
        <v>198</v>
      </c>
      <c r="P1846">
        <v>-143</v>
      </c>
      <c r="Q1846">
        <v>198</v>
      </c>
      <c r="R1846" t="s">
        <v>0</v>
      </c>
      <c r="S1846" t="s">
        <v>0</v>
      </c>
      <c r="T1846" t="s">
        <v>0</v>
      </c>
    </row>
    <row r="1847" spans="1:20" x14ac:dyDescent="0.25">
      <c r="A1847">
        <v>21800251</v>
      </c>
      <c r="B1847" t="s">
        <v>4</v>
      </c>
      <c r="C1847" t="s">
        <v>28</v>
      </c>
      <c r="D1847">
        <v>45</v>
      </c>
      <c r="E1847">
        <v>46</v>
      </c>
      <c r="F1847">
        <v>1</v>
      </c>
      <c r="G1847">
        <v>2</v>
      </c>
      <c r="H1847" s="1">
        <v>5.1736111111111115E-3</v>
      </c>
      <c r="I1847">
        <v>2018</v>
      </c>
      <c r="J1847" t="s">
        <v>12</v>
      </c>
      <c r="K1847" s="2" t="str">
        <f>HYPERLINK("https://www.nba.com/stats/events?CFID=&amp;CFPARAMS=&amp;GameEventID=199&amp;GameID=0021800251&amp;Season=2018-19&amp;flag=1&amp;title=Turner%202'%20Driving%20Finger%20Roll%20Layup%20(2%20PTS)%20(Leonard%201%20AST)", "Turner 2' Driving Finger Roll Layup (2 PTS) (Leonard 1 AST)")</f>
        <v>Turner 2' Driving Finger Roll Layup (2 PTS) (Leonard 1 AST)</v>
      </c>
      <c r="L1847" s="2" t="str">
        <f>HYPERLINK("https://www.nba.com/game/...-vs-...-0021800251/play-by-play?watchFullGame=true", "POR vs NYK - Q2 07:27.00")</f>
        <v>POR vs NYK - Q2 07:27.00</v>
      </c>
      <c r="M1847">
        <v>2</v>
      </c>
      <c r="N1847">
        <v>0</v>
      </c>
      <c r="O1847">
        <v>20</v>
      </c>
      <c r="P1847">
        <v>0</v>
      </c>
      <c r="Q1847">
        <v>20</v>
      </c>
      <c r="R1847" t="s">
        <v>0</v>
      </c>
      <c r="S1847" t="s">
        <v>0</v>
      </c>
      <c r="T1847" t="s">
        <v>0</v>
      </c>
    </row>
    <row r="1848" spans="1:20" x14ac:dyDescent="0.25">
      <c r="A1848">
        <v>21800410</v>
      </c>
      <c r="B1848" t="s">
        <v>4</v>
      </c>
      <c r="C1848" t="s">
        <v>19</v>
      </c>
      <c r="D1848">
        <v>28</v>
      </c>
      <c r="E1848">
        <v>21</v>
      </c>
      <c r="F1848">
        <v>7</v>
      </c>
      <c r="G1848">
        <v>2</v>
      </c>
      <c r="H1848" s="1">
        <v>6.5624999999999998E-3</v>
      </c>
      <c r="I1848">
        <v>2018</v>
      </c>
      <c r="J1848" t="s">
        <v>12</v>
      </c>
      <c r="K1848" s="2" t="str">
        <f>HYPERLINK("https://www.nba.com/stats/events?CFID=&amp;CFPARAMS=&amp;GameEventID=203&amp;GameID=0021800410&amp;Season=2018-19&amp;flag=1&amp;title=McCollum%2020'%20Pullup%20Jump%20Shot%20(12%20PTS)%20(Leonard%202%20AST)", "McCollum 20' Pullup Jump Shot (12 PTS) (Leonard 2 AST)")</f>
        <v>McCollum 20' Pullup Jump Shot (12 PTS) (Leonard 2 AST)</v>
      </c>
      <c r="L1848" s="2" t="str">
        <f>HYPERLINK("https://www.nba.com/game/...-vs-...-0021800410/play-by-play?watchFullGame=true", "POR vs MEM - Q2 09:27.00")</f>
        <v>POR vs MEM - Q2 09:27.00</v>
      </c>
      <c r="M1848">
        <v>20</v>
      </c>
      <c r="N1848">
        <v>99</v>
      </c>
      <c r="O1848">
        <v>174</v>
      </c>
      <c r="P1848">
        <v>99</v>
      </c>
      <c r="Q1848">
        <v>174</v>
      </c>
      <c r="R1848" t="s">
        <v>0</v>
      </c>
      <c r="S1848" t="s">
        <v>0</v>
      </c>
      <c r="T1848" t="s">
        <v>0</v>
      </c>
    </row>
    <row r="1849" spans="1:20" x14ac:dyDescent="0.25">
      <c r="A1849">
        <v>21400282</v>
      </c>
      <c r="B1849" t="s">
        <v>10</v>
      </c>
      <c r="C1849" t="s">
        <v>9</v>
      </c>
      <c r="D1849">
        <v>38</v>
      </c>
      <c r="E1849">
        <v>28</v>
      </c>
      <c r="F1849">
        <v>10</v>
      </c>
      <c r="G1849">
        <v>2</v>
      </c>
      <c r="H1849" s="1">
        <v>4.178240740740741E-3</v>
      </c>
      <c r="I1849">
        <v>2014</v>
      </c>
      <c r="J1849" t="s">
        <v>7</v>
      </c>
      <c r="K1849" s="2" t="str">
        <f>HYPERLINK("https://www.nba.com/stats/events?CFID=&amp;CFPARAMS=&amp;GameEventID=178&amp;GameID=0021400282&amp;Season=2014-15&amp;flag=1&amp;title=Green%2026'%203PT%20Jump%20Shot%20(4%20PTS)%20(Leonard%202%20AST)", "Green 26' 3PT Jump Shot (4 PTS) (Leonard 2 AST)")</f>
        <v>Green 26' 3PT Jump Shot (4 PTS) (Leonard 2 AST)</v>
      </c>
      <c r="L1849" s="2" t="str">
        <f>HYPERLINK("https://www.nba.com/game/...-vs-...-0021400282/play-by-play?watchFullGame=true", "SAS vs MEM - Q2 06:01.00")</f>
        <v>SAS vs MEM - Q2 06:01.00</v>
      </c>
      <c r="M1849">
        <v>26</v>
      </c>
      <c r="N1849">
        <v>159</v>
      </c>
      <c r="O1849">
        <v>203</v>
      </c>
      <c r="P1849">
        <v>159</v>
      </c>
      <c r="Q1849">
        <v>203</v>
      </c>
      <c r="R1849" t="s">
        <v>0</v>
      </c>
      <c r="S1849" t="s">
        <v>0</v>
      </c>
      <c r="T1849" t="s">
        <v>0</v>
      </c>
    </row>
    <row r="1850" spans="1:20" x14ac:dyDescent="0.25">
      <c r="A1850">
        <v>21400291</v>
      </c>
      <c r="B1850" t="s">
        <v>10</v>
      </c>
      <c r="C1850" t="s">
        <v>9</v>
      </c>
      <c r="D1850">
        <v>73</v>
      </c>
      <c r="E1850">
        <v>51</v>
      </c>
      <c r="F1850">
        <v>22</v>
      </c>
      <c r="G1850">
        <v>3</v>
      </c>
      <c r="H1850" s="1">
        <v>7.6620370370370366E-3</v>
      </c>
      <c r="I1850">
        <v>2014</v>
      </c>
      <c r="J1850" t="s">
        <v>7</v>
      </c>
      <c r="K1850" s="2" t="str">
        <f>HYPERLINK("https://www.nba.com/stats/events?CFID=&amp;CFPARAMS=&amp;GameEventID=272&amp;GameID=0021400291&amp;Season=2014-15&amp;flag=1&amp;title=Belinelli%2024'%203PT%20Jump%20Shot%20(20%20PTS)%20(Leonard%203%20AST)", "Belinelli 24' 3PT Jump Shot (20 PTS) (Leonard 3 AST)")</f>
        <v>Belinelli 24' 3PT Jump Shot (20 PTS) (Leonard 3 AST)</v>
      </c>
      <c r="L1850" s="2" t="str">
        <f>HYPERLINK("https://www.nba.com/game/...-vs-...-0021400291/play-by-play?watchFullGame=true", "SAS vs MIN - Q3 11:02.00")</f>
        <v>SAS vs MIN - Q3 11:02.00</v>
      </c>
      <c r="M1850">
        <v>24</v>
      </c>
      <c r="N1850">
        <v>242</v>
      </c>
      <c r="O1850">
        <v>-16</v>
      </c>
      <c r="P1850">
        <v>242</v>
      </c>
      <c r="Q1850">
        <v>-16</v>
      </c>
      <c r="R1850" t="s">
        <v>0</v>
      </c>
      <c r="S1850" t="s">
        <v>0</v>
      </c>
      <c r="T1850" t="s">
        <v>0</v>
      </c>
    </row>
    <row r="1851" spans="1:20" x14ac:dyDescent="0.25">
      <c r="A1851">
        <v>21400361</v>
      </c>
      <c r="B1851" t="s">
        <v>4</v>
      </c>
      <c r="C1851" t="s">
        <v>5</v>
      </c>
      <c r="D1851">
        <v>37</v>
      </c>
      <c r="E1851">
        <v>38</v>
      </c>
      <c r="F1851">
        <v>1</v>
      </c>
      <c r="G1851">
        <v>2</v>
      </c>
      <c r="H1851" s="1">
        <v>2.488425925925926E-3</v>
      </c>
      <c r="I1851">
        <v>2014</v>
      </c>
      <c r="J1851" t="s">
        <v>7</v>
      </c>
      <c r="K1851" s="2" t="str">
        <f>HYPERLINK("https://www.nba.com/stats/events?CFID=&amp;CFPARAMS=&amp;GameEventID=200&amp;GameID=0021400361&amp;Season=2014-15&amp;flag=1&amp;title=Green%201'%20Layup%20(10%20PTS)%20(Leonard%203%20AST)", "Green 1' Layup (10 PTS) (Leonard 3 AST)")</f>
        <v>Green 1' Layup (10 PTS) (Leonard 3 AST)</v>
      </c>
      <c r="L1851" s="2" t="str">
        <f>HYPERLINK("https://www.nba.com/game/...-vs-...-0021400361/play-by-play?watchFullGame=true", "SAS vs POR - Q2 03:35.00")</f>
        <v>SAS vs POR - Q2 03:35.00</v>
      </c>
      <c r="M1851">
        <v>1</v>
      </c>
      <c r="N1851">
        <v>-2</v>
      </c>
      <c r="O1851">
        <v>-5</v>
      </c>
      <c r="P1851">
        <v>-2</v>
      </c>
      <c r="Q1851">
        <v>-5</v>
      </c>
      <c r="R1851" t="s">
        <v>0</v>
      </c>
      <c r="S1851" t="s">
        <v>0</v>
      </c>
      <c r="T1851" t="s">
        <v>0</v>
      </c>
    </row>
    <row r="1852" spans="1:20" x14ac:dyDescent="0.25">
      <c r="A1852">
        <v>21400739</v>
      </c>
      <c r="B1852" t="s">
        <v>10</v>
      </c>
      <c r="C1852" t="s">
        <v>9</v>
      </c>
      <c r="D1852">
        <v>3</v>
      </c>
      <c r="E1852">
        <v>0</v>
      </c>
      <c r="F1852">
        <v>3</v>
      </c>
      <c r="G1852">
        <v>1</v>
      </c>
      <c r="H1852" s="1">
        <v>7.6620370370370366E-3</v>
      </c>
      <c r="I1852">
        <v>2014</v>
      </c>
      <c r="J1852" t="s">
        <v>7</v>
      </c>
      <c r="K1852" s="2" t="str">
        <f>HYPERLINK("https://www.nba.com/stats/events?CFID=&amp;CFPARAMS=&amp;GameEventID=7&amp;GameID=0021400739&amp;Season=2014-15&amp;flag=1&amp;title=Parker%20%203PT%20Jump%20Shot%20(3%20PTS)%20(Leonard%201%20AST)", "Parker  3PT Jump Shot (3 PTS) (Leonard 1 AST)")</f>
        <v>Parker  3PT Jump Shot (3 PTS) (Leonard 1 AST)</v>
      </c>
      <c r="L1852" s="2" t="str">
        <f>HYPERLINK("https://www.nba.com/game/...-vs-...-0021400739/play-by-play?watchFullGame=true", "SAS vs ORL - Q1 11:02.00")</f>
        <v>SAS vs ORL - Q1 11:02.00</v>
      </c>
      <c r="M1852">
        <v>0</v>
      </c>
      <c r="N1852">
        <v>-229</v>
      </c>
      <c r="O1852">
        <v>6</v>
      </c>
      <c r="P1852">
        <v>-229</v>
      </c>
      <c r="Q1852">
        <v>6</v>
      </c>
      <c r="R1852" t="s">
        <v>0</v>
      </c>
      <c r="S1852" t="s">
        <v>0</v>
      </c>
      <c r="T1852" t="s">
        <v>0</v>
      </c>
    </row>
    <row r="1853" spans="1:20" x14ac:dyDescent="0.25">
      <c r="A1853">
        <v>21400867</v>
      </c>
      <c r="B1853" t="s">
        <v>10</v>
      </c>
      <c r="C1853" t="s">
        <v>9</v>
      </c>
      <c r="D1853">
        <v>98</v>
      </c>
      <c r="E1853">
        <v>88</v>
      </c>
      <c r="F1853">
        <v>10</v>
      </c>
      <c r="G1853">
        <v>4</v>
      </c>
      <c r="H1853" s="1">
        <v>3.2291666666666666E-3</v>
      </c>
      <c r="I1853">
        <v>2014</v>
      </c>
      <c r="J1853" t="s">
        <v>7</v>
      </c>
      <c r="K1853" s="2" t="str">
        <f>HYPERLINK("https://www.nba.com/stats/events?CFID=&amp;CFPARAMS=&amp;GameEventID=495&amp;GameID=0021400867&amp;Season=2014-15&amp;flag=1&amp;title=Ginobili%2025'%203PT%20Jump%20Shot%20(14%20PTS)%20(Leonard%204%20AST)", "Ginobili 25' 3PT Jump Shot (14 PTS) (Leonard 4 AST)")</f>
        <v>Ginobili 25' 3PT Jump Shot (14 PTS) (Leonard 4 AST)</v>
      </c>
      <c r="L1853" s="2" t="str">
        <f>HYPERLINK("https://www.nba.com/game/...-vs-...-0021400867/play-by-play?watchFullGame=true", "SAS vs SAC - Q4 04:39.00")</f>
        <v>SAS vs SAC - Q4 04:39.00</v>
      </c>
      <c r="M1853">
        <v>25</v>
      </c>
      <c r="N1853">
        <v>-215</v>
      </c>
      <c r="O1853">
        <v>121</v>
      </c>
      <c r="P1853">
        <v>-215</v>
      </c>
      <c r="Q1853">
        <v>121</v>
      </c>
      <c r="R1853" t="s">
        <v>0</v>
      </c>
      <c r="S1853" t="s">
        <v>0</v>
      </c>
      <c r="T1853" t="s">
        <v>0</v>
      </c>
    </row>
    <row r="1854" spans="1:20" x14ac:dyDescent="0.25">
      <c r="A1854">
        <v>21400867</v>
      </c>
      <c r="B1854" t="s">
        <v>10</v>
      </c>
      <c r="C1854" t="s">
        <v>9</v>
      </c>
      <c r="D1854">
        <v>105</v>
      </c>
      <c r="E1854">
        <v>92</v>
      </c>
      <c r="F1854">
        <v>13</v>
      </c>
      <c r="G1854">
        <v>4</v>
      </c>
      <c r="H1854" s="1">
        <v>1.3888888888888889E-3</v>
      </c>
      <c r="I1854">
        <v>2014</v>
      </c>
      <c r="J1854" t="s">
        <v>7</v>
      </c>
      <c r="K1854" s="2" t="str">
        <f>HYPERLINK("https://www.nba.com/stats/events?CFID=&amp;CFPARAMS=&amp;GameEventID=534&amp;GameID=0021400867&amp;Season=2014-15&amp;flag=1&amp;title=Parker%20%203PT%20Jump%20Shot%20(17%20PTS)%20(Leonard%205%20AST)", "Parker  3PT Jump Shot (17 PTS) (Leonard 5 AST)")</f>
        <v>Parker  3PT Jump Shot (17 PTS) (Leonard 5 AST)</v>
      </c>
      <c r="L1854" s="2" t="str">
        <f>HYPERLINK("https://www.nba.com/game/...-vs-...-0021400867/play-by-play?watchFullGame=true", "SAS vs SAC - Q4 02:00.00")</f>
        <v>SAS vs SAC - Q4 02:00.00</v>
      </c>
      <c r="M1854">
        <v>0</v>
      </c>
      <c r="N1854">
        <v>231</v>
      </c>
      <c r="O1854">
        <v>25</v>
      </c>
      <c r="P1854">
        <v>231</v>
      </c>
      <c r="Q1854">
        <v>25</v>
      </c>
      <c r="R1854" t="s">
        <v>0</v>
      </c>
      <c r="S1854" t="s">
        <v>0</v>
      </c>
      <c r="T1854" t="s">
        <v>0</v>
      </c>
    </row>
    <row r="1855" spans="1:20" x14ac:dyDescent="0.25">
      <c r="A1855">
        <v>21401136</v>
      </c>
      <c r="B1855" t="s">
        <v>10</v>
      </c>
      <c r="C1855" t="s">
        <v>9</v>
      </c>
      <c r="D1855">
        <v>41</v>
      </c>
      <c r="E1855">
        <v>18</v>
      </c>
      <c r="F1855">
        <v>23</v>
      </c>
      <c r="G1855">
        <v>2</v>
      </c>
      <c r="H1855" s="1">
        <v>6.0648148148148145E-3</v>
      </c>
      <c r="I1855">
        <v>2014</v>
      </c>
      <c r="J1855" t="s">
        <v>12</v>
      </c>
      <c r="K1855" s="2" t="str">
        <f>HYPERLINK("https://www.nba.com/stats/events?CFID=&amp;CFPARAMS=&amp;GameEventID=125&amp;GameID=0021401136&amp;Season=2014-15&amp;flag=1&amp;title=McCollum%20%203PT%20Jump%20Shot%20(9%20PTS)%20(Leonard%202%20AST)", "McCollum  3PT Jump Shot (9 PTS) (Leonard 2 AST)")</f>
        <v>McCollum  3PT Jump Shot (9 PTS) (Leonard 2 AST)</v>
      </c>
      <c r="L1855" s="2" t="str">
        <f>HYPERLINK("https://www.nba.com/game/...-vs-...-0021401136/play-by-play?watchFullGame=true", "POR vs LAL - Q2 08:44.00")</f>
        <v>POR vs LAL - Q2 08:44.00</v>
      </c>
      <c r="M1855">
        <v>0</v>
      </c>
      <c r="N1855">
        <v>-232</v>
      </c>
      <c r="O1855">
        <v>4</v>
      </c>
      <c r="P1855">
        <v>-232</v>
      </c>
      <c r="Q1855">
        <v>4</v>
      </c>
      <c r="R1855" t="s">
        <v>0</v>
      </c>
      <c r="S1855" t="s">
        <v>0</v>
      </c>
      <c r="T1855" t="s">
        <v>0</v>
      </c>
    </row>
    <row r="1856" spans="1:20" x14ac:dyDescent="0.25">
      <c r="A1856">
        <v>21500015</v>
      </c>
      <c r="B1856" t="s">
        <v>10</v>
      </c>
      <c r="C1856" t="s">
        <v>9</v>
      </c>
      <c r="D1856">
        <v>64</v>
      </c>
      <c r="E1856">
        <v>38</v>
      </c>
      <c r="F1856">
        <v>26</v>
      </c>
      <c r="G1856">
        <v>2</v>
      </c>
      <c r="H1856" s="1">
        <v>1.1342592592592593E-3</v>
      </c>
      <c r="I1856">
        <v>2015</v>
      </c>
      <c r="J1856" t="s">
        <v>12</v>
      </c>
      <c r="K1856" s="2" t="str">
        <f>HYPERLINK("https://www.nba.com/stats/events?CFID=&amp;CFPARAMS=&amp;GameEventID=285&amp;GameID=0021500015&amp;Season=2015-16&amp;flag=1&amp;title=Lillard%2029'%203PT%20Jump%20Shot%20(15%20PTS)%20(Leonard%202%20AST)", "Lillard 29' 3PT Jump Shot (15 PTS) (Leonard 2 AST)")</f>
        <v>Lillard 29' 3PT Jump Shot (15 PTS) (Leonard 2 AST)</v>
      </c>
      <c r="L1856" s="2" t="str">
        <f>HYPERLINK("https://www.nba.com/game/...-vs-...-0021500015/play-by-play?watchFullGame=true", "POR vs NOP - Q2 01:38.00")</f>
        <v>POR vs NOP - Q2 01:38.00</v>
      </c>
      <c r="M1856">
        <v>29</v>
      </c>
      <c r="N1856">
        <v>-192</v>
      </c>
      <c r="O1856">
        <v>213</v>
      </c>
      <c r="P1856">
        <v>-192</v>
      </c>
      <c r="Q1856">
        <v>213</v>
      </c>
      <c r="R1856" t="s">
        <v>0</v>
      </c>
      <c r="S1856" t="s">
        <v>0</v>
      </c>
      <c r="T1856" t="s">
        <v>0</v>
      </c>
    </row>
    <row r="1857" spans="1:20" x14ac:dyDescent="0.25">
      <c r="A1857">
        <v>21600272</v>
      </c>
      <c r="B1857" t="s">
        <v>4</v>
      </c>
      <c r="C1857" t="s">
        <v>25</v>
      </c>
      <c r="D1857">
        <v>2</v>
      </c>
      <c r="E1857">
        <v>0</v>
      </c>
      <c r="F1857">
        <v>2</v>
      </c>
      <c r="G1857">
        <v>1</v>
      </c>
      <c r="H1857" s="1">
        <v>7.4884259259259262E-3</v>
      </c>
      <c r="I1857">
        <v>2016</v>
      </c>
      <c r="J1857" t="s">
        <v>7</v>
      </c>
      <c r="K1857" s="2" t="str">
        <f>HYPERLINK("https://www.nba.com/stats/events?CFID=&amp;CFPARAMS=&amp;GameEventID=11&amp;GameID=0021600272&amp;Season=2016-17&amp;flag=1&amp;title=Laprovittola%201'%20Running%20Finger%20Roll%20Layup%20(2%20PTS)%20(Leonard%201%20AST)", "Laprovittola 1' Running Finger Roll Layup (2 PTS) (Leonard 1 AST)")</f>
        <v>Laprovittola 1' Running Finger Roll Layup (2 PTS) (Leonard 1 AST)</v>
      </c>
      <c r="L1857" s="2" t="str">
        <f>HYPERLINK("https://www.nba.com/game/...-vs-...-0021600272/play-by-play?watchFullGame=true", "SAS vs DAL - Q1 10:47.00")</f>
        <v>SAS vs DAL - Q1 10:47.00</v>
      </c>
      <c r="M1857">
        <v>1</v>
      </c>
      <c r="N1857">
        <v>-6</v>
      </c>
      <c r="O1857">
        <v>-1</v>
      </c>
      <c r="P1857">
        <v>-6</v>
      </c>
      <c r="Q1857">
        <v>-1</v>
      </c>
      <c r="R1857" t="s">
        <v>0</v>
      </c>
      <c r="S1857" t="s">
        <v>0</v>
      </c>
      <c r="T1857" t="s">
        <v>0</v>
      </c>
    </row>
    <row r="1858" spans="1:20" x14ac:dyDescent="0.25">
      <c r="A1858">
        <v>21600383</v>
      </c>
      <c r="B1858" t="s">
        <v>4</v>
      </c>
      <c r="C1858" t="s">
        <v>21</v>
      </c>
      <c r="D1858">
        <v>46</v>
      </c>
      <c r="E1858">
        <v>43</v>
      </c>
      <c r="F1858">
        <v>3</v>
      </c>
      <c r="G1858">
        <v>2</v>
      </c>
      <c r="H1858" s="1">
        <v>1.8055555555555555E-3</v>
      </c>
      <c r="I1858">
        <v>2016</v>
      </c>
      <c r="J1858" t="s">
        <v>7</v>
      </c>
      <c r="K1858" s="2" t="str">
        <f>HYPERLINK("https://www.nba.com/stats/events?CFID=&amp;CFPARAMS=&amp;GameEventID=206&amp;GameID=0021600383&amp;Season=2016-17&amp;flag=1&amp;title=Gasol%2010'%20Fadeaway%20Jumper%20(6%20PTS)%20(Leonard%202%20AST)", "Gasol 10' Fadeaway Jumper (6 PTS) (Leonard 2 AST)")</f>
        <v>Gasol 10' Fadeaway Jumper (6 PTS) (Leonard 2 AST)</v>
      </c>
      <c r="L1858" s="2" t="str">
        <f>HYPERLINK("https://www.nba.com/game/...-vs-...-0021600383/play-by-play?watchFullGame=true", "SAS vs BOS - Q2 02:36.00")</f>
        <v>SAS vs BOS - Q2 02:36.00</v>
      </c>
      <c r="M1858">
        <v>10</v>
      </c>
      <c r="N1858">
        <v>97</v>
      </c>
      <c r="O1858">
        <v>13</v>
      </c>
      <c r="P1858">
        <v>97</v>
      </c>
      <c r="Q1858">
        <v>13</v>
      </c>
      <c r="R1858" t="s">
        <v>0</v>
      </c>
      <c r="S1858" t="s">
        <v>0</v>
      </c>
      <c r="T1858" t="s">
        <v>0</v>
      </c>
    </row>
    <row r="1859" spans="1:20" x14ac:dyDescent="0.25">
      <c r="A1859">
        <v>21600525</v>
      </c>
      <c r="B1859" t="s">
        <v>4</v>
      </c>
      <c r="C1859" t="s">
        <v>5</v>
      </c>
      <c r="D1859">
        <v>18</v>
      </c>
      <c r="E1859">
        <v>8</v>
      </c>
      <c r="F1859">
        <v>10</v>
      </c>
      <c r="G1859">
        <v>1</v>
      </c>
      <c r="H1859" s="1">
        <v>4.6527777777777774E-3</v>
      </c>
      <c r="I1859">
        <v>2016</v>
      </c>
      <c r="J1859" t="s">
        <v>7</v>
      </c>
      <c r="K1859" s="2" t="str">
        <f>HYPERLINK("https://www.nba.com/stats/events?CFID=&amp;CFPARAMS=&amp;GameEventID=46&amp;GameID=0021600525&amp;Season=2016-17&amp;flag=1&amp;title=Gasol%201'%20Layup%20(3%20PTS)%20(Leonard%201%20AST)", "Gasol 1' Layup (3 PTS) (Leonard 1 AST)")</f>
        <v>Gasol 1' Layup (3 PTS) (Leonard 1 AST)</v>
      </c>
      <c r="L1859" s="2" t="str">
        <f>HYPERLINK("https://www.nba.com/game/...-vs-...-0021600525/play-by-play?watchFullGame=true", "SAS vs TOR - Q1 06:42.00")</f>
        <v>SAS vs TOR - Q1 06:42.00</v>
      </c>
      <c r="M1859">
        <v>1</v>
      </c>
      <c r="N1859">
        <v>14</v>
      </c>
      <c r="O1859">
        <v>2</v>
      </c>
      <c r="P1859">
        <v>14</v>
      </c>
      <c r="Q1859">
        <v>2</v>
      </c>
      <c r="R1859" t="s">
        <v>0</v>
      </c>
      <c r="S1859" t="s">
        <v>0</v>
      </c>
      <c r="T1859" t="s">
        <v>0</v>
      </c>
    </row>
    <row r="1860" spans="1:20" x14ac:dyDescent="0.25">
      <c r="A1860">
        <v>21600559</v>
      </c>
      <c r="B1860" t="s">
        <v>4</v>
      </c>
      <c r="C1860" t="s">
        <v>51</v>
      </c>
      <c r="D1860">
        <v>91</v>
      </c>
      <c r="E1860">
        <v>87</v>
      </c>
      <c r="F1860">
        <v>4</v>
      </c>
      <c r="G1860">
        <v>4</v>
      </c>
      <c r="H1860" s="1">
        <v>6.7708333333333336E-3</v>
      </c>
      <c r="I1860">
        <v>2016</v>
      </c>
      <c r="J1860" t="s">
        <v>12</v>
      </c>
      <c r="K1860" s="2" t="str">
        <f>HYPERLINK("https://www.nba.com/stats/events?CFID=&amp;CFPARAMS=&amp;GameEventID=352&amp;GameID=0021600559&amp;Season=2016-17&amp;flag=1&amp;title=Crabbe%2017'%20Pullup%20Bank%20Shot%20(24%20PTS)%20(Leonard%202%20AST)", "Crabbe 17' Pullup Bank Shot (24 PTS) (Leonard 2 AST)")</f>
        <v>Crabbe 17' Pullup Bank Shot (24 PTS) (Leonard 2 AST)</v>
      </c>
      <c r="L1860" s="2" t="str">
        <f>HYPERLINK("https://www.nba.com/game/...-vs-...-0021600559/play-by-play?watchFullGame=true", "POR vs DET - Q4 09:45.00")</f>
        <v>POR vs DET - Q4 09:45.00</v>
      </c>
      <c r="M1860">
        <v>17</v>
      </c>
      <c r="N1860">
        <v>15</v>
      </c>
      <c r="O1860">
        <v>170</v>
      </c>
      <c r="P1860">
        <v>15</v>
      </c>
      <c r="Q1860">
        <v>170</v>
      </c>
      <c r="R1860" t="s">
        <v>0</v>
      </c>
      <c r="S1860" t="s">
        <v>0</v>
      </c>
      <c r="T1860" t="s">
        <v>0</v>
      </c>
    </row>
    <row r="1861" spans="1:20" x14ac:dyDescent="0.25">
      <c r="A1861">
        <v>21600727</v>
      </c>
      <c r="B1861" t="s">
        <v>10</v>
      </c>
      <c r="C1861" t="s">
        <v>9</v>
      </c>
      <c r="D1861">
        <v>25</v>
      </c>
      <c r="E1861">
        <v>17</v>
      </c>
      <c r="F1861">
        <v>8</v>
      </c>
      <c r="G1861">
        <v>1</v>
      </c>
      <c r="H1861" s="1">
        <v>1.4236111111111112E-3</v>
      </c>
      <c r="I1861">
        <v>2016</v>
      </c>
      <c r="J1861" t="s">
        <v>7</v>
      </c>
      <c r="K1861" s="2" t="str">
        <f>HYPERLINK("https://www.nba.com/stats/events?CFID=&amp;CFPARAMS=&amp;GameEventID=133&amp;GameID=0021600727&amp;Season=2016-17&amp;flag=1&amp;title=Mills%2025'%203PT%20Jump%20Shot%20(3%20PTS)%20(Leonard%201%20AST)", "Mills 25' 3PT Jump Shot (3 PTS) (Leonard 1 AST)")</f>
        <v>Mills 25' 3PT Jump Shot (3 PTS) (Leonard 1 AST)</v>
      </c>
      <c r="L1861" s="2" t="str">
        <f>HYPERLINK("https://www.nba.com/game/...-vs-...-0021600727/play-by-play?watchFullGame=true", "SAS vs OKC - Q1 02:03.00")</f>
        <v>SAS vs OKC - Q1 02:03.00</v>
      </c>
      <c r="M1861">
        <v>25</v>
      </c>
      <c r="N1861">
        <v>151</v>
      </c>
      <c r="O1861">
        <v>198</v>
      </c>
      <c r="P1861">
        <v>151</v>
      </c>
      <c r="Q1861">
        <v>198</v>
      </c>
      <c r="R1861" t="s">
        <v>0</v>
      </c>
      <c r="S1861" t="s">
        <v>0</v>
      </c>
      <c r="T1861" t="s">
        <v>0</v>
      </c>
    </row>
    <row r="1862" spans="1:20" x14ac:dyDescent="0.25">
      <c r="A1862">
        <v>21600865</v>
      </c>
      <c r="B1862" t="s">
        <v>4</v>
      </c>
      <c r="C1862" t="s">
        <v>9</v>
      </c>
      <c r="D1862">
        <v>27</v>
      </c>
      <c r="E1862">
        <v>24</v>
      </c>
      <c r="F1862">
        <v>3</v>
      </c>
      <c r="G1862">
        <v>2</v>
      </c>
      <c r="H1862" s="1">
        <v>4.7222222222222223E-3</v>
      </c>
      <c r="I1862">
        <v>2016</v>
      </c>
      <c r="J1862" t="s">
        <v>7</v>
      </c>
      <c r="K1862" s="2" t="str">
        <f>HYPERLINK("https://www.nba.com/stats/events?CFID=&amp;CFPARAMS=&amp;GameEventID=176&amp;GameID=0021600865&amp;Season=2016-17&amp;flag=1&amp;title=Aldridge%2017'%20Jump%20Shot%20(7%20PTS)%20(Leonard%202%20AST)", "Aldridge 17' Jump Shot (7 PTS) (Leonard 2 AST)")</f>
        <v>Aldridge 17' Jump Shot (7 PTS) (Leonard 2 AST)</v>
      </c>
      <c r="L1862" s="2" t="str">
        <f>HYPERLINK("https://www.nba.com/game/...-vs-...-0021600865/play-by-play?watchFullGame=true", "SAS vs LAC - Q2 06:48.00")</f>
        <v>SAS vs LAC - Q2 06:48.00</v>
      </c>
      <c r="M1862">
        <v>17</v>
      </c>
      <c r="N1862">
        <v>-81</v>
      </c>
      <c r="O1862">
        <v>144</v>
      </c>
      <c r="P1862">
        <v>-81</v>
      </c>
      <c r="Q1862">
        <v>144</v>
      </c>
      <c r="R1862" t="s">
        <v>0</v>
      </c>
      <c r="S1862" t="s">
        <v>0</v>
      </c>
      <c r="T1862" t="s">
        <v>0</v>
      </c>
    </row>
    <row r="1863" spans="1:20" x14ac:dyDescent="0.25">
      <c r="A1863">
        <v>21600865</v>
      </c>
      <c r="B1863" t="s">
        <v>10</v>
      </c>
      <c r="C1863" t="s">
        <v>9</v>
      </c>
      <c r="D1863">
        <v>43</v>
      </c>
      <c r="E1863">
        <v>37</v>
      </c>
      <c r="F1863">
        <v>6</v>
      </c>
      <c r="G1863">
        <v>2</v>
      </c>
      <c r="H1863" s="1">
        <v>7.1759259259259259E-4</v>
      </c>
      <c r="I1863">
        <v>2016</v>
      </c>
      <c r="J1863" t="s">
        <v>7</v>
      </c>
      <c r="K1863" s="2" t="str">
        <f>HYPERLINK("https://www.nba.com/stats/events?CFID=&amp;CFPARAMS=&amp;GameEventID=235&amp;GameID=0021600865&amp;Season=2016-17&amp;flag=1&amp;title=Gasol%2024'%203PT%20Jump%20Shot%20(6%20PTS)%20(Leonard%206%20AST)", "Gasol 24' 3PT Jump Shot (6 PTS) (Leonard 6 AST)")</f>
        <v>Gasol 24' 3PT Jump Shot (6 PTS) (Leonard 6 AST)</v>
      </c>
      <c r="L1863" s="2" t="str">
        <f>HYPERLINK("https://www.nba.com/game/...-vs-...-0021600865/play-by-play?watchFullGame=true", "SAS vs LAC - Q2 01:02.00")</f>
        <v>SAS vs LAC - Q2 01:02.00</v>
      </c>
      <c r="M1863">
        <v>24</v>
      </c>
      <c r="N1863">
        <v>-76</v>
      </c>
      <c r="O1863">
        <v>229</v>
      </c>
      <c r="P1863">
        <v>-76</v>
      </c>
      <c r="Q1863">
        <v>229</v>
      </c>
      <c r="R1863" t="s">
        <v>0</v>
      </c>
      <c r="S1863" t="s">
        <v>0</v>
      </c>
      <c r="T1863" t="s">
        <v>0</v>
      </c>
    </row>
    <row r="1864" spans="1:20" x14ac:dyDescent="0.25">
      <c r="A1864">
        <v>21601042</v>
      </c>
      <c r="B1864" t="s">
        <v>4</v>
      </c>
      <c r="C1864" t="s">
        <v>9</v>
      </c>
      <c r="D1864">
        <v>44</v>
      </c>
      <c r="E1864">
        <v>38</v>
      </c>
      <c r="F1864">
        <v>6</v>
      </c>
      <c r="G1864">
        <v>2</v>
      </c>
      <c r="H1864" s="1">
        <v>3.3680555555555556E-3</v>
      </c>
      <c r="I1864">
        <v>2016</v>
      </c>
      <c r="J1864" t="s">
        <v>7</v>
      </c>
      <c r="K1864" s="2" t="str">
        <f>HYPERLINK("https://www.nba.com/stats/events?CFID=&amp;CFPARAMS=&amp;GameEventID=205&amp;GameID=0021601042&amp;Season=2016-17&amp;flag=1&amp;title=Parker%2023'%20Jump%20Shot%20(12%20PTS)%20(Leonard%201%20AST)", "Parker 23' Jump Shot (12 PTS) (Leonard 1 AST)")</f>
        <v>Parker 23' Jump Shot (12 PTS) (Leonard 1 AST)</v>
      </c>
      <c r="L1864" s="2" t="str">
        <f>HYPERLINK("https://www.nba.com/game/...-vs-...-0021601042/play-by-play?watchFullGame=true", "SAS vs SAC - Q2 04:51.00")</f>
        <v>SAS vs SAC - Q2 04:51.00</v>
      </c>
      <c r="M1864">
        <v>23</v>
      </c>
      <c r="N1864">
        <v>-186</v>
      </c>
      <c r="O1864">
        <v>134</v>
      </c>
      <c r="P1864">
        <v>-186</v>
      </c>
      <c r="Q1864">
        <v>134</v>
      </c>
      <c r="R1864" t="s">
        <v>0</v>
      </c>
      <c r="S1864" t="s">
        <v>0</v>
      </c>
      <c r="T1864" t="s">
        <v>0</v>
      </c>
    </row>
    <row r="1865" spans="1:20" x14ac:dyDescent="0.25">
      <c r="A1865">
        <v>21601230</v>
      </c>
      <c r="B1865" t="s">
        <v>10</v>
      </c>
      <c r="C1865" t="s">
        <v>9</v>
      </c>
      <c r="D1865">
        <v>75</v>
      </c>
      <c r="E1865">
        <v>72</v>
      </c>
      <c r="F1865">
        <v>3</v>
      </c>
      <c r="G1865">
        <v>3</v>
      </c>
      <c r="H1865" s="1">
        <v>2.6967592592592594E-3</v>
      </c>
      <c r="I1865">
        <v>2016</v>
      </c>
      <c r="J1865" t="s">
        <v>12</v>
      </c>
      <c r="K1865" s="2" t="str">
        <f>HYPERLINK("https://www.nba.com/stats/events?CFID=&amp;CFPARAMS=&amp;GameEventID=361&amp;GameID=0021601230&amp;Season=2016-17&amp;flag=1&amp;title=Connaughton%2027'%203PT%20Jump%20Shot%20(16%20PTS)%20(Leonard%201%20AST)", "Connaughton 27' 3PT Jump Shot (16 PTS) (Leonard 1 AST)")</f>
        <v>Connaughton 27' 3PT Jump Shot (16 PTS) (Leonard 1 AST)</v>
      </c>
      <c r="L1865" s="2" t="str">
        <f>HYPERLINK("https://www.nba.com/game/...-vs-...-0021601230/play-by-play?watchFullGame=true", "POR vs NOP - Q3 03:53.00")</f>
        <v>POR vs NOP - Q3 03:53.00</v>
      </c>
      <c r="M1865">
        <v>27</v>
      </c>
      <c r="N1865">
        <v>33</v>
      </c>
      <c r="O1865">
        <v>264</v>
      </c>
      <c r="P1865">
        <v>33</v>
      </c>
      <c r="Q1865">
        <v>264</v>
      </c>
      <c r="R1865" t="s">
        <v>0</v>
      </c>
      <c r="S1865" t="s">
        <v>0</v>
      </c>
      <c r="T1865" t="s">
        <v>0</v>
      </c>
    </row>
    <row r="1866" spans="1:20" x14ac:dyDescent="0.25">
      <c r="A1866">
        <v>21700333</v>
      </c>
      <c r="B1866" t="s">
        <v>4</v>
      </c>
      <c r="C1866" t="s">
        <v>20</v>
      </c>
      <c r="D1866">
        <v>69</v>
      </c>
      <c r="E1866">
        <v>83</v>
      </c>
      <c r="F1866">
        <v>14</v>
      </c>
      <c r="G1866">
        <v>3</v>
      </c>
      <c r="H1866" s="1">
        <v>3.3449074074074076E-3</v>
      </c>
      <c r="I1866">
        <v>2017</v>
      </c>
      <c r="J1866" t="s">
        <v>12</v>
      </c>
      <c r="K1866" s="2" t="str">
        <f>HYPERLINK("https://www.nba.com/stats/events?CFID=&amp;CFPARAMS=&amp;GameEventID=378&amp;GameID=0021700333&amp;Season=2017-18&amp;flag=1&amp;title=Lillard%201'%20Cutting%20Layup%20Shot%20(17%20PTS)%20(Leonard%202%20AST)", "Lillard 1' Cutting Layup Shot (17 PTS) (Leonard 2 AST)")</f>
        <v>Lillard 1' Cutting Layup Shot (17 PTS) (Leonard 2 AST)</v>
      </c>
      <c r="L1866" s="2" t="str">
        <f>HYPERLINK("https://www.nba.com/game/...-vs-...-0021700333/play-by-play?watchFullGame=true", "POR vs NOP - Q3 04:49.00")</f>
        <v>POR vs NOP - Q3 04:49.00</v>
      </c>
      <c r="M1866">
        <v>1</v>
      </c>
      <c r="N1866">
        <v>6</v>
      </c>
      <c r="O1866">
        <v>5</v>
      </c>
      <c r="P1866">
        <v>6</v>
      </c>
      <c r="Q1866">
        <v>5</v>
      </c>
      <c r="R1866" t="s">
        <v>0</v>
      </c>
      <c r="S1866" t="s">
        <v>0</v>
      </c>
      <c r="T1866" t="s">
        <v>0</v>
      </c>
    </row>
    <row r="1867" spans="1:20" x14ac:dyDescent="0.25">
      <c r="A1867">
        <v>21700333</v>
      </c>
      <c r="B1867" t="s">
        <v>10</v>
      </c>
      <c r="C1867" t="s">
        <v>9</v>
      </c>
      <c r="D1867">
        <v>75</v>
      </c>
      <c r="E1867">
        <v>90</v>
      </c>
      <c r="F1867">
        <v>15</v>
      </c>
      <c r="G1867">
        <v>3</v>
      </c>
      <c r="H1867" s="1">
        <v>1.6550925925925926E-3</v>
      </c>
      <c r="I1867">
        <v>2017</v>
      </c>
      <c r="J1867" t="s">
        <v>12</v>
      </c>
      <c r="K1867" s="2" t="str">
        <f>HYPERLINK("https://www.nba.com/stats/events?CFID=&amp;CFPARAMS=&amp;GameEventID=409&amp;GameID=0021700333&amp;Season=2017-18&amp;flag=1&amp;title=Aminu%2025'%203PT%20Jump%20Shot%20(5%20PTS)%20(Leonard%203%20AST)", "Aminu 25' 3PT Jump Shot (5 PTS) (Leonard 3 AST)")</f>
        <v>Aminu 25' 3PT Jump Shot (5 PTS) (Leonard 3 AST)</v>
      </c>
      <c r="L1867" s="2" t="str">
        <f>HYPERLINK("https://www.nba.com/game/...-vs-...-0021700333/play-by-play?watchFullGame=true", "POR vs NOP - Q3 02:23.00")</f>
        <v>POR vs NOP - Q3 02:23.00</v>
      </c>
      <c r="M1867">
        <v>25</v>
      </c>
      <c r="N1867">
        <v>105</v>
      </c>
      <c r="O1867">
        <v>230</v>
      </c>
      <c r="P1867">
        <v>105</v>
      </c>
      <c r="Q1867">
        <v>230</v>
      </c>
      <c r="R1867" t="s">
        <v>0</v>
      </c>
      <c r="S1867" t="s">
        <v>0</v>
      </c>
      <c r="T1867" t="s">
        <v>0</v>
      </c>
    </row>
    <row r="1868" spans="1:20" x14ac:dyDescent="0.25">
      <c r="A1868">
        <v>21700530</v>
      </c>
      <c r="B1868" t="s">
        <v>4</v>
      </c>
      <c r="C1868" t="s">
        <v>9</v>
      </c>
      <c r="D1868">
        <v>45</v>
      </c>
      <c r="E1868">
        <v>50</v>
      </c>
      <c r="F1868">
        <v>5</v>
      </c>
      <c r="G1868">
        <v>3</v>
      </c>
      <c r="H1868" s="1">
        <v>5.2893518518518515E-3</v>
      </c>
      <c r="I1868">
        <v>2017</v>
      </c>
      <c r="J1868" t="s">
        <v>7</v>
      </c>
      <c r="K1868" s="2" t="str">
        <f>HYPERLINK("https://www.nba.com/stats/events?CFID=&amp;CFPARAMS=&amp;GameEventID=345&amp;GameID=0021700530&amp;Season=2017-18&amp;flag=1&amp;title=Parker%2020'%20Jump%20Shot%20(2%20PTS)%20(Leonard%202%20AST)", "Parker 20' Jump Shot (2 PTS) (Leonard 2 AST)")</f>
        <v>Parker 20' Jump Shot (2 PTS) (Leonard 2 AST)</v>
      </c>
      <c r="L1868" s="2" t="str">
        <f>HYPERLINK("https://www.nba.com/game/...-vs-...-0021700530/play-by-play?watchFullGame=true", "SAS vs DET - Q3 07:37.00")</f>
        <v>SAS vs DET - Q3 07:37.00</v>
      </c>
      <c r="M1868">
        <v>20</v>
      </c>
      <c r="N1868">
        <v>196</v>
      </c>
      <c r="O1868">
        <v>0</v>
      </c>
      <c r="P1868">
        <v>196</v>
      </c>
      <c r="Q1868">
        <v>0</v>
      </c>
      <c r="R1868" t="s">
        <v>0</v>
      </c>
      <c r="S1868" t="s">
        <v>0</v>
      </c>
      <c r="T1868" t="s">
        <v>0</v>
      </c>
    </row>
    <row r="1869" spans="1:20" x14ac:dyDescent="0.25">
      <c r="A1869">
        <v>21800008</v>
      </c>
      <c r="B1869" t="s">
        <v>10</v>
      </c>
      <c r="C1869" t="s">
        <v>9</v>
      </c>
      <c r="D1869">
        <v>39</v>
      </c>
      <c r="E1869">
        <v>36</v>
      </c>
      <c r="F1869">
        <v>3</v>
      </c>
      <c r="G1869">
        <v>2</v>
      </c>
      <c r="H1869" s="1">
        <v>4.8263888888888887E-3</v>
      </c>
      <c r="I1869">
        <v>2018</v>
      </c>
      <c r="J1869" t="s">
        <v>1</v>
      </c>
      <c r="K1869" s="2" t="str">
        <f>HYPERLINK("https://www.nba.com/stats/events?CFID=&amp;CFPARAMS=&amp;GameEventID=245&amp;GameID=0021800008&amp;Season=2018-19&amp;flag=1&amp;title=Lowry%203PT%20Jump%20Shot%20(8%20PTS)%20(Leonard%202%20AST)", "Lowry 3PT Jump Shot (8 PTS) (Leonard 2 AST)")</f>
        <v>Lowry 3PT Jump Shot (8 PTS) (Leonard 2 AST)</v>
      </c>
      <c r="L1869" s="2" t="str">
        <f>HYPERLINK("https://www.nba.com/game/...-vs-...-0021800008/play-by-play?watchFullGame=true", "TOR vs CLE - Q2 06:57.00")</f>
        <v>TOR vs CLE - Q2 06:57.00</v>
      </c>
      <c r="M1869">
        <v>0</v>
      </c>
      <c r="N1869">
        <v>233</v>
      </c>
      <c r="O1869">
        <v>29</v>
      </c>
      <c r="P1869">
        <v>233</v>
      </c>
      <c r="Q1869">
        <v>29</v>
      </c>
      <c r="R1869" t="s">
        <v>0</v>
      </c>
      <c r="S1869" t="s">
        <v>0</v>
      </c>
      <c r="T1869" t="s">
        <v>0</v>
      </c>
    </row>
    <row r="1870" spans="1:20" x14ac:dyDescent="0.25">
      <c r="A1870">
        <v>21800016</v>
      </c>
      <c r="B1870" t="s">
        <v>10</v>
      </c>
      <c r="C1870" t="s">
        <v>9</v>
      </c>
      <c r="D1870">
        <v>76</v>
      </c>
      <c r="E1870">
        <v>72</v>
      </c>
      <c r="F1870">
        <v>4</v>
      </c>
      <c r="G1870">
        <v>3</v>
      </c>
      <c r="H1870" s="1">
        <v>4.8726851851851848E-3</v>
      </c>
      <c r="I1870">
        <v>2018</v>
      </c>
      <c r="J1870" t="s">
        <v>12</v>
      </c>
      <c r="K1870" s="2" t="str">
        <f>HYPERLINK("https://www.nba.com/stats/events?CFID=&amp;CFPARAMS=&amp;GameEventID=439&amp;GameID=0021800016&amp;Season=2018-19&amp;flag=1&amp;title=McCollum%203PT%20Jump%20Shot%20(11%20PTS)%20(Leonard%203%20AST)", "McCollum 3PT Jump Shot (11 PTS) (Leonard 3 AST)")</f>
        <v>McCollum 3PT Jump Shot (11 PTS) (Leonard 3 AST)</v>
      </c>
      <c r="L1870" s="2" t="str">
        <f>HYPERLINK("https://www.nba.com/game/...-vs-...-0021800016/play-by-play?watchFullGame=true", "POR vs LAL - Q3 07:01.00")</f>
        <v>POR vs LAL - Q3 07:01.00</v>
      </c>
      <c r="M1870">
        <v>0</v>
      </c>
      <c r="N1870">
        <v>-227</v>
      </c>
      <c r="O1870">
        <v>-15</v>
      </c>
      <c r="P1870">
        <v>-227</v>
      </c>
      <c r="Q1870">
        <v>-15</v>
      </c>
      <c r="R1870" t="s">
        <v>0</v>
      </c>
      <c r="S1870" t="s">
        <v>0</v>
      </c>
      <c r="T1870" t="s">
        <v>0</v>
      </c>
    </row>
    <row r="1871" spans="1:20" x14ac:dyDescent="0.25">
      <c r="A1871">
        <v>21800100</v>
      </c>
      <c r="B1871" t="s">
        <v>4</v>
      </c>
      <c r="C1871" t="s">
        <v>36</v>
      </c>
      <c r="D1871">
        <v>121</v>
      </c>
      <c r="E1871">
        <v>111</v>
      </c>
      <c r="F1871">
        <v>10</v>
      </c>
      <c r="G1871">
        <v>4</v>
      </c>
      <c r="H1871" s="1">
        <v>1.5162037037037036E-3</v>
      </c>
      <c r="I1871">
        <v>2018</v>
      </c>
      <c r="J1871" t="s">
        <v>1</v>
      </c>
      <c r="K1871" s="2" t="str">
        <f>HYPERLINK("https://www.nba.com/stats/events?CFID=&amp;CFPARAMS=&amp;GameEventID=727&amp;GameID=0021800100&amp;Season=2018-19&amp;flag=1&amp;title=Siakam%202'%20Running%20Layup%20(15%20PTS)%20(Leonard%204%20AST)", "Siakam 2' Running Layup (15 PTS) (Leonard 4 AST)")</f>
        <v>Siakam 2' Running Layup (15 PTS) (Leonard 4 AST)</v>
      </c>
      <c r="L1871" s="2" t="str">
        <f>HYPERLINK("https://www.nba.com/game/...-vs-...-0021800100/play-by-play?watchFullGame=true", "TOR vs PHI - Q4 02:11.00")</f>
        <v>TOR vs PHI - Q4 02:11.00</v>
      </c>
      <c r="M1871">
        <v>2</v>
      </c>
      <c r="N1871">
        <v>9</v>
      </c>
      <c r="O1871">
        <v>16</v>
      </c>
      <c r="P1871">
        <v>9</v>
      </c>
      <c r="Q1871">
        <v>16</v>
      </c>
      <c r="R1871" t="s">
        <v>0</v>
      </c>
      <c r="S1871" t="s">
        <v>0</v>
      </c>
      <c r="T1871" t="s">
        <v>0</v>
      </c>
    </row>
    <row r="1872" spans="1:20" x14ac:dyDescent="0.25">
      <c r="A1872">
        <v>21800174</v>
      </c>
      <c r="B1872" t="s">
        <v>10</v>
      </c>
      <c r="C1872" t="s">
        <v>9</v>
      </c>
      <c r="D1872">
        <v>93</v>
      </c>
      <c r="E1872">
        <v>77</v>
      </c>
      <c r="F1872">
        <v>16</v>
      </c>
      <c r="G1872">
        <v>3</v>
      </c>
      <c r="H1872" s="1">
        <v>2.3379629629629631E-3</v>
      </c>
      <c r="I1872">
        <v>2018</v>
      </c>
      <c r="J1872" t="s">
        <v>1</v>
      </c>
      <c r="K1872" s="2" t="str">
        <f>HYPERLINK("https://www.nba.com/stats/events?CFID=&amp;CFPARAMS=&amp;GameEventID=449&amp;GameID=0021800174&amp;Season=2018-19&amp;flag=1&amp;title=Siakam%2025'%203PT%20Jump%20Shot%20(19%20PTS)%20(Leonard%203%20AST)", "Siakam 25' 3PT Jump Shot (19 PTS) (Leonard 3 AST)")</f>
        <v>Siakam 25' 3PT Jump Shot (19 PTS) (Leonard 3 AST)</v>
      </c>
      <c r="L1872" s="2" t="str">
        <f>HYPERLINK("https://www.nba.com/game/...-vs-...-0021800174/play-by-play?watchFullGame=true", "TOR vs NYK - Q3 03:22.00")</f>
        <v>TOR vs NYK - Q3 03:22.00</v>
      </c>
      <c r="M1872">
        <v>25</v>
      </c>
      <c r="N1872">
        <v>241</v>
      </c>
      <c r="O1872">
        <v>59</v>
      </c>
      <c r="P1872">
        <v>241</v>
      </c>
      <c r="Q1872">
        <v>59</v>
      </c>
      <c r="R1872" t="s">
        <v>0</v>
      </c>
      <c r="S1872" t="s">
        <v>0</v>
      </c>
      <c r="T1872" t="s">
        <v>0</v>
      </c>
    </row>
    <row r="1873" spans="1:20" x14ac:dyDescent="0.25">
      <c r="A1873">
        <v>21600115</v>
      </c>
      <c r="B1873" t="s">
        <v>10</v>
      </c>
      <c r="C1873" t="s">
        <v>9</v>
      </c>
      <c r="D1873">
        <v>60</v>
      </c>
      <c r="E1873">
        <v>98</v>
      </c>
      <c r="F1873">
        <v>38</v>
      </c>
      <c r="G1873">
        <v>4</v>
      </c>
      <c r="H1873" s="1">
        <v>6.6203703703703702E-3</v>
      </c>
      <c r="I1873">
        <v>2016</v>
      </c>
      <c r="J1873" t="s">
        <v>12</v>
      </c>
      <c r="K1873" s="2" t="str">
        <f>HYPERLINK("https://www.nba.com/stats/events?CFID=&amp;CFPARAMS=&amp;GameEventID=444&amp;GameID=0021600115&amp;Season=2016-17&amp;flag=1&amp;title=Crabbe%2025'%203PT%20Jump%20Shot%20(9%20PTS)%20(Leonard%201%20AST)", "Crabbe 25' 3PT Jump Shot (9 PTS) (Leonard 1 AST)")</f>
        <v>Crabbe 25' 3PT Jump Shot (9 PTS) (Leonard 1 AST)</v>
      </c>
      <c r="L1873" s="2" t="str">
        <f>HYPERLINK("https://www.nba.com/game/...-vs-...-0021600115/play-by-play?watchFullGame=true", "POR vs LAC - Q4 09:32.00")</f>
        <v>POR vs LAC - Q4 09:32.00</v>
      </c>
      <c r="M1873">
        <v>25</v>
      </c>
      <c r="N1873">
        <v>133</v>
      </c>
      <c r="O1873">
        <v>208</v>
      </c>
      <c r="P1873">
        <v>133</v>
      </c>
      <c r="Q1873">
        <v>208</v>
      </c>
      <c r="R1873" t="s">
        <v>0</v>
      </c>
      <c r="S1873" t="s">
        <v>0</v>
      </c>
      <c r="T1873" t="s">
        <v>0</v>
      </c>
    </row>
    <row r="1874" spans="1:20" x14ac:dyDescent="0.25">
      <c r="A1874">
        <v>21600182</v>
      </c>
      <c r="B1874" t="s">
        <v>4</v>
      </c>
      <c r="C1874" t="s">
        <v>20</v>
      </c>
      <c r="D1874">
        <v>82</v>
      </c>
      <c r="E1874">
        <v>68</v>
      </c>
      <c r="F1874">
        <v>14</v>
      </c>
      <c r="G1874">
        <v>3</v>
      </c>
      <c r="H1874" s="1">
        <v>2.476851851851852E-3</v>
      </c>
      <c r="I1874">
        <v>2016</v>
      </c>
      <c r="J1874" t="s">
        <v>7</v>
      </c>
      <c r="K1874" s="2" t="str">
        <f>HYPERLINK("https://www.nba.com/stats/events?CFID=&amp;CFPARAMS=&amp;GameEventID=332&amp;GameID=0021600182&amp;Season=2016-17&amp;flag=1&amp;title=Lee%202'%20Cutting%20Layup%20Shot%20(4%20PTS)%20(Leonard%207%20AST)", "Lee 2' Cutting Layup Shot (4 PTS) (Leonard 7 AST)")</f>
        <v>Lee 2' Cutting Layup Shot (4 PTS) (Leonard 7 AST)</v>
      </c>
      <c r="L1874" s="2" t="str">
        <f>HYPERLINK("https://www.nba.com/game/...-vs-...-0021600182/play-by-play?watchFullGame=true", "SAS vs LAL - Q3 03:34.00")</f>
        <v>SAS vs LAL - Q3 03:34.00</v>
      </c>
      <c r="M1874">
        <v>2</v>
      </c>
      <c r="N1874">
        <v>13</v>
      </c>
      <c r="O1874">
        <v>11</v>
      </c>
      <c r="P1874">
        <v>13</v>
      </c>
      <c r="Q1874">
        <v>11</v>
      </c>
      <c r="R1874" t="s">
        <v>0</v>
      </c>
      <c r="S1874" t="s">
        <v>0</v>
      </c>
      <c r="T1874" t="s">
        <v>0</v>
      </c>
    </row>
    <row r="1875" spans="1:20" x14ac:dyDescent="0.25">
      <c r="A1875">
        <v>21600206</v>
      </c>
      <c r="B1875" t="s">
        <v>4</v>
      </c>
      <c r="C1875" t="s">
        <v>6</v>
      </c>
      <c r="D1875">
        <v>56</v>
      </c>
      <c r="E1875">
        <v>62</v>
      </c>
      <c r="F1875">
        <v>6</v>
      </c>
      <c r="G1875">
        <v>3</v>
      </c>
      <c r="H1875" s="1">
        <v>4.0625000000000001E-3</v>
      </c>
      <c r="I1875">
        <v>2016</v>
      </c>
      <c r="J1875" t="s">
        <v>7</v>
      </c>
      <c r="K1875" s="2" t="str">
        <f>HYPERLINK("https://www.nba.com/stats/events?CFID=&amp;CFPARAMS=&amp;GameEventID=281&amp;GameID=0021600206&amp;Season=2016-17&amp;flag=1&amp;title=Lee%20%20Cutting%20Dunk%20Shot%20(4%20PTS)%20(Leonard%203%20AST)", "Lee  Cutting Dunk Shot (4 PTS) (Leonard 3 AST)")</f>
        <v>Lee  Cutting Dunk Shot (4 PTS) (Leonard 3 AST)</v>
      </c>
      <c r="L1875" s="2" t="str">
        <f>HYPERLINK("https://www.nba.com/game/...-vs-...-0021600206/play-by-play?watchFullGame=true", "SAS vs DAL - Q3 05:51.00")</f>
        <v>SAS vs DAL - Q3 05:51.00</v>
      </c>
      <c r="M1875">
        <v>0</v>
      </c>
      <c r="N1875">
        <v>0</v>
      </c>
      <c r="O1875">
        <v>1</v>
      </c>
      <c r="P1875">
        <v>0</v>
      </c>
      <c r="Q1875">
        <v>1</v>
      </c>
      <c r="R1875" t="s">
        <v>0</v>
      </c>
      <c r="S1875" t="s">
        <v>0</v>
      </c>
      <c r="T1875" t="s">
        <v>0</v>
      </c>
    </row>
    <row r="1876" spans="1:20" x14ac:dyDescent="0.25">
      <c r="A1876">
        <v>21600206</v>
      </c>
      <c r="B1876" t="s">
        <v>4</v>
      </c>
      <c r="C1876" t="s">
        <v>26</v>
      </c>
      <c r="D1876">
        <v>89</v>
      </c>
      <c r="E1876">
        <v>86</v>
      </c>
      <c r="F1876">
        <v>3</v>
      </c>
      <c r="G1876">
        <v>4</v>
      </c>
      <c r="H1876" s="1">
        <v>3.0208333333333333E-3</v>
      </c>
      <c r="I1876">
        <v>2016</v>
      </c>
      <c r="J1876" t="s">
        <v>7</v>
      </c>
      <c r="K1876" s="2" t="str">
        <f>HYPERLINK("https://www.nba.com/stats/events?CFID=&amp;CFPARAMS=&amp;GameEventID=443&amp;GameID=0021600206&amp;Season=2016-17&amp;flag=1&amp;title=Mills%201'%20Reverse%20Layup%20(16%20PTS)%20(Leonard%204%20AST)", "Mills 1' Reverse Layup (16 PTS) (Leonard 4 AST)")</f>
        <v>Mills 1' Reverse Layup (16 PTS) (Leonard 4 AST)</v>
      </c>
      <c r="L1876" s="2" t="str">
        <f>HYPERLINK("https://www.nba.com/game/...-vs-...-0021600206/play-by-play?watchFullGame=true", "SAS vs DAL - Q4 04:21.00")</f>
        <v>SAS vs DAL - Q4 04:21.00</v>
      </c>
      <c r="M1876">
        <v>1</v>
      </c>
      <c r="N1876">
        <v>6</v>
      </c>
      <c r="O1876">
        <v>0</v>
      </c>
      <c r="P1876">
        <v>6</v>
      </c>
      <c r="Q1876">
        <v>0</v>
      </c>
      <c r="R1876" t="s">
        <v>0</v>
      </c>
      <c r="S1876" t="s">
        <v>0</v>
      </c>
      <c r="T1876" t="s">
        <v>0</v>
      </c>
    </row>
    <row r="1877" spans="1:20" x14ac:dyDescent="0.25">
      <c r="A1877">
        <v>21600289</v>
      </c>
      <c r="B1877" t="s">
        <v>10</v>
      </c>
      <c r="C1877" t="s">
        <v>9</v>
      </c>
      <c r="D1877">
        <v>36</v>
      </c>
      <c r="E1877">
        <v>39</v>
      </c>
      <c r="F1877">
        <v>3</v>
      </c>
      <c r="G1877">
        <v>2</v>
      </c>
      <c r="H1877" s="1">
        <v>4.7569444444444447E-3</v>
      </c>
      <c r="I1877">
        <v>2016</v>
      </c>
      <c r="J1877" t="s">
        <v>7</v>
      </c>
      <c r="K1877" s="2" t="str">
        <f>HYPERLINK("https://www.nba.com/stats/events?CFID=&amp;CFPARAMS=&amp;GameEventID=191&amp;GameID=0021600289&amp;Season=2016-17&amp;flag=1&amp;title=Laprovittola%2025'%203PT%20Jump%20Shot%20(3%20PTS)%20(Leonard%201%20AST)", "Laprovittola 25' 3PT Jump Shot (3 PTS) (Leonard 1 AST)")</f>
        <v>Laprovittola 25' 3PT Jump Shot (3 PTS) (Leonard 1 AST)</v>
      </c>
      <c r="L1877" s="2" t="str">
        <f>HYPERLINK("https://www.nba.com/game/...-vs-...-0021600289/play-by-play?watchFullGame=true", "SAS vs WAS - Q2 06:51.00")</f>
        <v>SAS vs WAS - Q2 06:51.00</v>
      </c>
      <c r="M1877">
        <v>25</v>
      </c>
      <c r="N1877">
        <v>-199</v>
      </c>
      <c r="O1877">
        <v>149</v>
      </c>
      <c r="P1877">
        <v>-199</v>
      </c>
      <c r="Q1877">
        <v>149</v>
      </c>
      <c r="R1877" t="s">
        <v>0</v>
      </c>
      <c r="S1877" t="s">
        <v>0</v>
      </c>
      <c r="T1877" t="s">
        <v>0</v>
      </c>
    </row>
    <row r="1878" spans="1:20" x14ac:dyDescent="0.25">
      <c r="A1878">
        <v>21600387</v>
      </c>
      <c r="B1878" t="s">
        <v>4</v>
      </c>
      <c r="C1878" t="s">
        <v>9</v>
      </c>
      <c r="D1878">
        <v>41</v>
      </c>
      <c r="E1878">
        <v>39</v>
      </c>
      <c r="F1878">
        <v>2</v>
      </c>
      <c r="G1878">
        <v>2</v>
      </c>
      <c r="H1878" s="1">
        <v>1.5972222222222223E-3</v>
      </c>
      <c r="I1878">
        <v>2016</v>
      </c>
      <c r="J1878" t="s">
        <v>7</v>
      </c>
      <c r="K1878" s="2" t="str">
        <f>HYPERLINK("https://www.nba.com/stats/events?CFID=&amp;CFPARAMS=&amp;GameEventID=222&amp;GameID=0021600387&amp;Season=2016-17&amp;flag=1&amp;title=Parker%2022'%20Jump%20Shot%20(7%20PTS)%20(Leonard%203%20AST)", "Parker 22' Jump Shot (7 PTS) (Leonard 3 AST)")</f>
        <v>Parker 22' Jump Shot (7 PTS) (Leonard 3 AST)</v>
      </c>
      <c r="L1878" s="2" t="str">
        <f>HYPERLINK("https://www.nba.com/game/...-vs-...-0021600387/play-by-play?watchFullGame=true", "SAS vs PHX - Q2 02:18.00")</f>
        <v>SAS vs PHX - Q2 02:18.00</v>
      </c>
      <c r="M1878">
        <v>22</v>
      </c>
      <c r="N1878">
        <v>212</v>
      </c>
      <c r="O1878">
        <v>51</v>
      </c>
      <c r="P1878">
        <v>212</v>
      </c>
      <c r="Q1878">
        <v>51</v>
      </c>
      <c r="R1878" t="s">
        <v>0</v>
      </c>
      <c r="S1878" t="s">
        <v>0</v>
      </c>
      <c r="T1878" t="s">
        <v>0</v>
      </c>
    </row>
    <row r="1879" spans="1:20" x14ac:dyDescent="0.25">
      <c r="A1879">
        <v>21600598</v>
      </c>
      <c r="B1879" t="s">
        <v>10</v>
      </c>
      <c r="C1879" t="s">
        <v>9</v>
      </c>
      <c r="D1879">
        <v>40</v>
      </c>
      <c r="E1879">
        <v>45</v>
      </c>
      <c r="F1879">
        <v>5</v>
      </c>
      <c r="G1879">
        <v>2</v>
      </c>
      <c r="H1879" s="1">
        <v>4.0509259259259257E-3</v>
      </c>
      <c r="I1879">
        <v>2016</v>
      </c>
      <c r="J1879" t="s">
        <v>12</v>
      </c>
      <c r="K1879" s="2" t="str">
        <f>HYPERLINK("https://www.nba.com/stats/events?CFID=&amp;CFPARAMS=&amp;GameEventID=215&amp;GameID=0021600598&amp;Season=2016-17&amp;flag=1&amp;title=Turner%2025'%203PT%20Jump%20Shot%20(11%20PTS)%20(Leonard%201%20AST)", "Turner 25' 3PT Jump Shot (11 PTS) (Leonard 1 AST)")</f>
        <v>Turner 25' 3PT Jump Shot (11 PTS) (Leonard 1 AST)</v>
      </c>
      <c r="L1879" s="2" t="str">
        <f>HYPERLINK("https://www.nba.com/game/...-vs-...-0021600598/play-by-play?watchFullGame=true", "POR vs ORL - Q2 05:50.00")</f>
        <v>POR vs ORL - Q2 05:50.00</v>
      </c>
      <c r="M1879">
        <v>25</v>
      </c>
      <c r="N1879">
        <v>223</v>
      </c>
      <c r="O1879">
        <v>115</v>
      </c>
      <c r="P1879">
        <v>223</v>
      </c>
      <c r="Q1879">
        <v>115</v>
      </c>
      <c r="R1879" t="s">
        <v>0</v>
      </c>
      <c r="S1879" t="s">
        <v>0</v>
      </c>
      <c r="T1879" t="s">
        <v>0</v>
      </c>
    </row>
    <row r="1880" spans="1:20" x14ac:dyDescent="0.25">
      <c r="A1880">
        <v>21600625</v>
      </c>
      <c r="B1880" t="s">
        <v>4</v>
      </c>
      <c r="C1880" t="s">
        <v>9</v>
      </c>
      <c r="D1880">
        <v>122</v>
      </c>
      <c r="E1880">
        <v>110</v>
      </c>
      <c r="F1880">
        <v>12</v>
      </c>
      <c r="G1880">
        <v>4</v>
      </c>
      <c r="H1880" s="1">
        <v>4.6874999999999998E-4</v>
      </c>
      <c r="I1880">
        <v>2016</v>
      </c>
      <c r="J1880" t="s">
        <v>7</v>
      </c>
      <c r="K1880" s="2" t="str">
        <f>HYPERLINK("https://www.nba.com/stats/events?CFID=&amp;CFPARAMS=&amp;GameEventID=562&amp;GameID=0021600625&amp;Season=2016-17&amp;flag=1&amp;title=Aldridge%2023'%20Jump%20Shot%20(29%20PTS)%20(Leonard%205%20AST)", "Aldridge 23' Jump Shot (29 PTS) (Leonard 5 AST)")</f>
        <v>Aldridge 23' Jump Shot (29 PTS) (Leonard 5 AST)</v>
      </c>
      <c r="L1880" s="2" t="str">
        <f>HYPERLINK("https://www.nba.com/game/...-vs-...-0021600625/play-by-play?watchFullGame=true", "SAS vs MIN - Q4 00:40.50")</f>
        <v>SAS vs MIN - Q4 00:40.50</v>
      </c>
      <c r="M1880">
        <v>23</v>
      </c>
      <c r="N1880">
        <v>-101</v>
      </c>
      <c r="O1880">
        <v>205</v>
      </c>
      <c r="P1880">
        <v>-101</v>
      </c>
      <c r="Q1880">
        <v>205</v>
      </c>
      <c r="R1880" t="s">
        <v>0</v>
      </c>
      <c r="S1880" t="s">
        <v>0</v>
      </c>
      <c r="T1880" t="s">
        <v>0</v>
      </c>
    </row>
    <row r="1881" spans="1:20" x14ac:dyDescent="0.25">
      <c r="A1881">
        <v>21500960</v>
      </c>
      <c r="B1881" t="s">
        <v>4</v>
      </c>
      <c r="C1881" t="s">
        <v>5</v>
      </c>
      <c r="D1881">
        <v>50</v>
      </c>
      <c r="E1881">
        <v>42</v>
      </c>
      <c r="F1881">
        <v>8</v>
      </c>
      <c r="G1881">
        <v>2</v>
      </c>
      <c r="H1881" s="1">
        <v>2.2685185185185187E-3</v>
      </c>
      <c r="I1881">
        <v>2015</v>
      </c>
      <c r="J1881" t="s">
        <v>7</v>
      </c>
      <c r="K1881" s="2" t="str">
        <f>HYPERLINK("https://www.nba.com/stats/events?CFID=&amp;CFPARAMS=&amp;GameEventID=211&amp;GameID=0021500960&amp;Season=2015-16&amp;flag=1&amp;title=Aldridge%203'%20Layup%20(8%20PTS)%20(Leonard%201%20AST)", "Aldridge 3' Layup (8 PTS) (Leonard 1 AST)")</f>
        <v>Aldridge 3' Layup (8 PTS) (Leonard 1 AST)</v>
      </c>
      <c r="L1881" s="2" t="str">
        <f>HYPERLINK("https://www.nba.com/game/...-vs-...-0021500960/play-by-play?watchFullGame=true", "SAS vs CHI - Q2 03:16.00")</f>
        <v>SAS vs CHI - Q2 03:16.00</v>
      </c>
      <c r="M1881">
        <v>3</v>
      </c>
      <c r="N1881">
        <v>-24</v>
      </c>
      <c r="O1881">
        <v>11</v>
      </c>
      <c r="P1881">
        <v>-24</v>
      </c>
      <c r="Q1881">
        <v>11</v>
      </c>
      <c r="R1881" t="s">
        <v>0</v>
      </c>
      <c r="S1881" t="s">
        <v>0</v>
      </c>
      <c r="T1881" t="s">
        <v>0</v>
      </c>
    </row>
    <row r="1882" spans="1:20" x14ac:dyDescent="0.25">
      <c r="A1882">
        <v>21501036</v>
      </c>
      <c r="B1882" t="s">
        <v>10</v>
      </c>
      <c r="C1882" t="s">
        <v>9</v>
      </c>
      <c r="D1882">
        <v>51</v>
      </c>
      <c r="E1882">
        <v>42</v>
      </c>
      <c r="F1882">
        <v>9</v>
      </c>
      <c r="G1882">
        <v>3</v>
      </c>
      <c r="H1882" s="1">
        <v>6.3194444444444444E-3</v>
      </c>
      <c r="I1882">
        <v>2015</v>
      </c>
      <c r="J1882" t="s">
        <v>7</v>
      </c>
      <c r="K1882" s="2" t="str">
        <f>HYPERLINK("https://www.nba.com/stats/events?CFID=&amp;CFPARAMS=&amp;GameEventID=259&amp;GameID=0021501036&amp;Season=2015-16&amp;flag=1&amp;title=Parker%20%203PT%20Jump%20Shot%20(3%20PTS)%20(Leonard%203%20AST)", "Parker  3PT Jump Shot (3 PTS) (Leonard 3 AST)")</f>
        <v>Parker  3PT Jump Shot (3 PTS) (Leonard 3 AST)</v>
      </c>
      <c r="L1882" s="2" t="str">
        <f>HYPERLINK("https://www.nba.com/game/...-vs-...-0021501036/play-by-play?watchFullGame=true", "SAS vs GSW - Q3 09:06.00")</f>
        <v>SAS vs GSW - Q3 09:06.00</v>
      </c>
      <c r="M1882">
        <v>0</v>
      </c>
      <c r="N1882">
        <v>232</v>
      </c>
      <c r="O1882">
        <v>-11</v>
      </c>
      <c r="P1882">
        <v>232</v>
      </c>
      <c r="Q1882">
        <v>-11</v>
      </c>
      <c r="R1882" t="s">
        <v>0</v>
      </c>
      <c r="S1882" t="s">
        <v>0</v>
      </c>
      <c r="T1882" t="s">
        <v>0</v>
      </c>
    </row>
    <row r="1883" spans="1:20" x14ac:dyDescent="0.25">
      <c r="A1883">
        <v>21600032</v>
      </c>
      <c r="B1883" t="s">
        <v>4</v>
      </c>
      <c r="C1883" t="s">
        <v>5</v>
      </c>
      <c r="D1883">
        <v>20</v>
      </c>
      <c r="E1883">
        <v>14</v>
      </c>
      <c r="F1883">
        <v>6</v>
      </c>
      <c r="G1883">
        <v>1</v>
      </c>
      <c r="H1883" s="1">
        <v>2.9282407407407408E-3</v>
      </c>
      <c r="I1883">
        <v>2016</v>
      </c>
      <c r="J1883" t="s">
        <v>7</v>
      </c>
      <c r="K1883" s="2" t="str">
        <f>HYPERLINK("https://www.nba.com/stats/events?CFID=&amp;CFPARAMS=&amp;GameEventID=64&amp;GameID=0021600032&amp;Season=2016-17&amp;flag=1&amp;title=Aldridge%202'%20Layup%20(8%20PTS)%20(Leonard%202%20AST)", "Aldridge 2' Layup (8 PTS) (Leonard 2 AST)")</f>
        <v>Aldridge 2' Layup (8 PTS) (Leonard 2 AST)</v>
      </c>
      <c r="L1883" s="2" t="str">
        <f>HYPERLINK("https://www.nba.com/game/...-vs-...-0021600032/play-by-play?watchFullGame=true", "SAS vs NOP - Q1 04:13.00")</f>
        <v>SAS vs NOP - Q1 04:13.00</v>
      </c>
      <c r="M1883">
        <v>2</v>
      </c>
      <c r="N1883">
        <v>-22</v>
      </c>
      <c r="O1883">
        <v>7</v>
      </c>
      <c r="P1883">
        <v>-22</v>
      </c>
      <c r="Q1883">
        <v>7</v>
      </c>
      <c r="R1883" t="s">
        <v>0</v>
      </c>
      <c r="S1883" t="s">
        <v>0</v>
      </c>
      <c r="T1883" t="s">
        <v>0</v>
      </c>
    </row>
    <row r="1884" spans="1:20" x14ac:dyDescent="0.25">
      <c r="A1884">
        <v>21600053</v>
      </c>
      <c r="B1884" t="s">
        <v>4</v>
      </c>
      <c r="C1884" t="s">
        <v>19</v>
      </c>
      <c r="D1884">
        <v>48</v>
      </c>
      <c r="E1884">
        <v>48</v>
      </c>
      <c r="F1884">
        <v>0</v>
      </c>
      <c r="G1884">
        <v>2</v>
      </c>
      <c r="H1884" s="1">
        <v>2.0717592592592593E-3</v>
      </c>
      <c r="I1884">
        <v>2016</v>
      </c>
      <c r="J1884" t="s">
        <v>7</v>
      </c>
      <c r="K1884" s="2" t="str">
        <f>HYPERLINK("https://www.nba.com/stats/events?CFID=&amp;CFPARAMS=&amp;GameEventID=200&amp;GameID=0021600053&amp;Season=2016-17&amp;flag=1&amp;title=Aldridge%2018'%20Pullup%20Jump%20Shot%20(8%20PTS)%20(Leonard%201%20AST)", "Aldridge 18' Pullup Jump Shot (8 PTS) (Leonard 1 AST)")</f>
        <v>Aldridge 18' Pullup Jump Shot (8 PTS) (Leonard 1 AST)</v>
      </c>
      <c r="L1884" s="2" t="str">
        <f>HYPERLINK("https://www.nba.com/game/...-vs-...-0021600053/play-by-play?watchFullGame=true", "SAS vs UTA - Q2 02:59.00")</f>
        <v>SAS vs UTA - Q2 02:59.00</v>
      </c>
      <c r="M1884">
        <v>18</v>
      </c>
      <c r="N1884">
        <v>105</v>
      </c>
      <c r="O1884">
        <v>149</v>
      </c>
      <c r="P1884">
        <v>105</v>
      </c>
      <c r="Q1884">
        <v>149</v>
      </c>
      <c r="R1884" t="s">
        <v>0</v>
      </c>
      <c r="S1884" t="s">
        <v>0</v>
      </c>
      <c r="T1884" t="s">
        <v>0</v>
      </c>
    </row>
    <row r="1885" spans="1:20" x14ac:dyDescent="0.25">
      <c r="A1885">
        <v>21600054</v>
      </c>
      <c r="B1885" t="s">
        <v>10</v>
      </c>
      <c r="C1885" t="s">
        <v>9</v>
      </c>
      <c r="D1885">
        <v>87</v>
      </c>
      <c r="E1885">
        <v>117</v>
      </c>
      <c r="F1885">
        <v>30</v>
      </c>
      <c r="G1885">
        <v>4</v>
      </c>
      <c r="H1885" s="1">
        <v>4.2824074074074075E-3</v>
      </c>
      <c r="I1885">
        <v>2016</v>
      </c>
      <c r="J1885" t="s">
        <v>12</v>
      </c>
      <c r="K1885" s="2" t="str">
        <f>HYPERLINK("https://www.nba.com/stats/events?CFID=&amp;CFPARAMS=&amp;GameEventID=488&amp;GameID=0021600054&amp;Season=2016-17&amp;flag=1&amp;title=Layman%2025'%203PT%20Jump%20Shot%20(6%20PTS)%20(Leonard%202%20AST)", "Layman 25' 3PT Jump Shot (6 PTS) (Leonard 2 AST)")</f>
        <v>Layman 25' 3PT Jump Shot (6 PTS) (Leonard 2 AST)</v>
      </c>
      <c r="L1885" s="2" t="str">
        <f>HYPERLINK("https://www.nba.com/game/...-vs-...-0021600054/play-by-play?watchFullGame=true", "POR vs GSW - Q4 06:10.00")</f>
        <v>POR vs GSW - Q4 06:10.00</v>
      </c>
      <c r="M1885">
        <v>25</v>
      </c>
      <c r="N1885">
        <v>-71</v>
      </c>
      <c r="O1885">
        <v>244</v>
      </c>
      <c r="P1885">
        <v>-71</v>
      </c>
      <c r="Q1885">
        <v>244</v>
      </c>
      <c r="R1885" t="s">
        <v>0</v>
      </c>
      <c r="S1885" t="s">
        <v>0</v>
      </c>
      <c r="T1885" t="s">
        <v>0</v>
      </c>
    </row>
    <row r="1886" spans="1:20" x14ac:dyDescent="0.25">
      <c r="A1886">
        <v>21600127</v>
      </c>
      <c r="B1886" t="s">
        <v>10</v>
      </c>
      <c r="C1886" t="s">
        <v>9</v>
      </c>
      <c r="D1886">
        <v>60</v>
      </c>
      <c r="E1886">
        <v>57</v>
      </c>
      <c r="F1886">
        <v>3</v>
      </c>
      <c r="G1886">
        <v>3</v>
      </c>
      <c r="H1886" s="1">
        <v>5.4976851851851853E-3</v>
      </c>
      <c r="I1886">
        <v>2016</v>
      </c>
      <c r="J1886" t="s">
        <v>7</v>
      </c>
      <c r="K1886" s="2" t="str">
        <f>HYPERLINK("https://www.nba.com/stats/events?CFID=&amp;CFPARAMS=&amp;GameEventID=258&amp;GameID=0021600127&amp;Season=2016-17&amp;flag=1&amp;title=Anderson%20%203PT%20Jump%20Shot%20(8%20PTS)%20(Leonard%201%20AST)", "Anderson  3PT Jump Shot (8 PTS) (Leonard 1 AST)")</f>
        <v>Anderson  3PT Jump Shot (8 PTS) (Leonard 1 AST)</v>
      </c>
      <c r="L1886" s="2" t="str">
        <f>HYPERLINK("https://www.nba.com/game/...-vs-...-0021600127/play-by-play?watchFullGame=true", "SAS vs DET - Q3 07:55.00")</f>
        <v>SAS vs DET - Q3 07:55.00</v>
      </c>
      <c r="M1886">
        <v>0</v>
      </c>
      <c r="N1886">
        <v>-233</v>
      </c>
      <c r="O1886">
        <v>-1</v>
      </c>
      <c r="P1886">
        <v>-233</v>
      </c>
      <c r="Q1886">
        <v>-1</v>
      </c>
      <c r="R1886" t="s">
        <v>0</v>
      </c>
      <c r="S1886" t="s">
        <v>0</v>
      </c>
      <c r="T1886" t="s">
        <v>0</v>
      </c>
    </row>
    <row r="1887" spans="1:20" x14ac:dyDescent="0.25">
      <c r="A1887">
        <v>21600144</v>
      </c>
      <c r="B1887" t="s">
        <v>4</v>
      </c>
      <c r="C1887" t="s">
        <v>17</v>
      </c>
      <c r="D1887">
        <v>2</v>
      </c>
      <c r="E1887">
        <v>2</v>
      </c>
      <c r="F1887">
        <v>0</v>
      </c>
      <c r="G1887">
        <v>1</v>
      </c>
      <c r="H1887" s="1">
        <v>7.9282407407407409E-3</v>
      </c>
      <c r="I1887">
        <v>2016</v>
      </c>
      <c r="J1887" t="s">
        <v>12</v>
      </c>
      <c r="K1887" s="2" t="str">
        <f>HYPERLINK("https://www.nba.com/stats/events?CFID=&amp;CFPARAMS=&amp;GameEventID=3&amp;GameID=0021600144&amp;Season=2016-17&amp;flag=1&amp;title=Plumlee%205'%20Floating%20Jump%20Shot%20(2%20PTS)%20(Leonard%201%20AST)", "Plumlee 5' Floating Jump Shot (2 PTS) (Leonard 1 AST)")</f>
        <v>Plumlee 5' Floating Jump Shot (2 PTS) (Leonard 1 AST)</v>
      </c>
      <c r="L1887" s="2" t="str">
        <f>HYPERLINK("https://www.nba.com/game/...-vs-...-0021600144/play-by-play?watchFullGame=true", "POR vs DEN - Q1 11:25.00")</f>
        <v>POR vs DEN - Q1 11:25.00</v>
      </c>
      <c r="M1887">
        <v>5</v>
      </c>
      <c r="N1887">
        <v>-16</v>
      </c>
      <c r="O1887">
        <v>51</v>
      </c>
      <c r="P1887">
        <v>-16</v>
      </c>
      <c r="Q1887">
        <v>51</v>
      </c>
      <c r="R1887" t="s">
        <v>0</v>
      </c>
      <c r="S1887" t="s">
        <v>0</v>
      </c>
      <c r="T1887" t="s">
        <v>0</v>
      </c>
    </row>
    <row r="1888" spans="1:20" x14ac:dyDescent="0.25">
      <c r="A1888">
        <v>21600144</v>
      </c>
      <c r="B1888" t="s">
        <v>10</v>
      </c>
      <c r="C1888" t="s">
        <v>9</v>
      </c>
      <c r="D1888">
        <v>7</v>
      </c>
      <c r="E1888">
        <v>4</v>
      </c>
      <c r="F1888">
        <v>3</v>
      </c>
      <c r="G1888">
        <v>1</v>
      </c>
      <c r="H1888" s="1">
        <v>5.9837962962962961E-3</v>
      </c>
      <c r="I1888">
        <v>2016</v>
      </c>
      <c r="J1888" t="s">
        <v>12</v>
      </c>
      <c r="K1888" s="2" t="str">
        <f>HYPERLINK("https://www.nba.com/stats/events?CFID=&amp;CFPARAMS=&amp;GameEventID=43&amp;GameID=0021600144&amp;Season=2016-17&amp;flag=1&amp;title=Lillard%2026'%203PT%20Jump%20Shot%20(5%20PTS)%20(Leonard%202%20AST)", "Lillard 26' 3PT Jump Shot (5 PTS) (Leonard 2 AST)")</f>
        <v>Lillard 26' 3PT Jump Shot (5 PTS) (Leonard 2 AST)</v>
      </c>
      <c r="L1888" s="2" t="str">
        <f>HYPERLINK("https://www.nba.com/game/...-vs-...-0021600144/play-by-play?watchFullGame=true", "POR vs DEN - Q1 08:37.00")</f>
        <v>POR vs DEN - Q1 08:37.00</v>
      </c>
      <c r="M1888">
        <v>26</v>
      </c>
      <c r="N1888">
        <v>-220</v>
      </c>
      <c r="O1888">
        <v>144</v>
      </c>
      <c r="P1888">
        <v>-220</v>
      </c>
      <c r="Q1888">
        <v>144</v>
      </c>
      <c r="R1888" t="s">
        <v>0</v>
      </c>
      <c r="S1888" t="s">
        <v>0</v>
      </c>
      <c r="T1888" t="s">
        <v>0</v>
      </c>
    </row>
    <row r="1889" spans="1:20" x14ac:dyDescent="0.25">
      <c r="A1889">
        <v>21401028</v>
      </c>
      <c r="B1889" t="s">
        <v>4</v>
      </c>
      <c r="C1889" t="s">
        <v>26</v>
      </c>
      <c r="D1889">
        <v>17</v>
      </c>
      <c r="E1889">
        <v>4</v>
      </c>
      <c r="F1889">
        <v>13</v>
      </c>
      <c r="G1889">
        <v>1</v>
      </c>
      <c r="H1889" s="1">
        <v>4.9189814814814816E-3</v>
      </c>
      <c r="I1889">
        <v>2014</v>
      </c>
      <c r="J1889" t="s">
        <v>7</v>
      </c>
      <c r="K1889" s="2" t="str">
        <f>HYPERLINK("https://www.nba.com/stats/events?CFID=&amp;CFPARAMS=&amp;GameEventID=40&amp;GameID=0021401028&amp;Season=2014-15&amp;flag=1&amp;title=Splitter%202'%20Reverse%20Layup%20(6%20PTS)%20(Leonard%202%20AST)", "Splitter 2' Reverse Layup (6 PTS) (Leonard 2 AST)")</f>
        <v>Splitter 2' Reverse Layup (6 PTS) (Leonard 2 AST)</v>
      </c>
      <c r="L1889" s="2" t="str">
        <f>HYPERLINK("https://www.nba.com/game/...-vs-...-0021401028/play-by-play?watchFullGame=true", "SAS vs BOS - Q1 07:05.00")</f>
        <v>SAS vs BOS - Q1 07:05.00</v>
      </c>
      <c r="M1889">
        <v>2</v>
      </c>
      <c r="N1889">
        <v>15</v>
      </c>
      <c r="O1889">
        <v>-3</v>
      </c>
      <c r="P1889">
        <v>15</v>
      </c>
      <c r="Q1889">
        <v>-3</v>
      </c>
      <c r="R1889" t="s">
        <v>0</v>
      </c>
      <c r="S1889" t="s">
        <v>0</v>
      </c>
      <c r="T1889" t="s">
        <v>0</v>
      </c>
    </row>
    <row r="1890" spans="1:20" x14ac:dyDescent="0.25">
      <c r="A1890">
        <v>21401071</v>
      </c>
      <c r="B1890" t="s">
        <v>10</v>
      </c>
      <c r="C1890" t="s">
        <v>9</v>
      </c>
      <c r="D1890">
        <v>91</v>
      </c>
      <c r="E1890">
        <v>61</v>
      </c>
      <c r="F1890">
        <v>30</v>
      </c>
      <c r="G1890">
        <v>3</v>
      </c>
      <c r="H1890" s="1">
        <v>3.8194444444444443E-3</v>
      </c>
      <c r="I1890">
        <v>2014</v>
      </c>
      <c r="J1890" t="s">
        <v>7</v>
      </c>
      <c r="K1890" s="2" t="str">
        <f>HYPERLINK("https://www.nba.com/stats/events?CFID=&amp;CFPARAMS=&amp;GameEventID=318&amp;GameID=0021401071&amp;Season=2014-15&amp;flag=1&amp;title=Diaw%2025'%203PT%20Jump%20Shot%20(15%20PTS)%20(Leonard%205%20AST)", "Diaw 25' 3PT Jump Shot (15 PTS) (Leonard 5 AST)")</f>
        <v>Diaw 25' 3PT Jump Shot (15 PTS) (Leonard 5 AST)</v>
      </c>
      <c r="L1890" s="2" t="str">
        <f>HYPERLINK("https://www.nba.com/game/...-vs-...-0021401071/play-by-play?watchFullGame=true", "SAS vs OKC - Q3 05:30.00")</f>
        <v>SAS vs OKC - Q3 05:30.00</v>
      </c>
      <c r="M1890">
        <v>25</v>
      </c>
      <c r="N1890">
        <v>-59</v>
      </c>
      <c r="O1890">
        <v>241</v>
      </c>
      <c r="P1890">
        <v>-59</v>
      </c>
      <c r="Q1890">
        <v>241</v>
      </c>
      <c r="R1890" t="s">
        <v>0</v>
      </c>
      <c r="S1890" t="s">
        <v>0</v>
      </c>
      <c r="T1890" t="s">
        <v>0</v>
      </c>
    </row>
    <row r="1891" spans="1:20" x14ac:dyDescent="0.25">
      <c r="A1891">
        <v>21401107</v>
      </c>
      <c r="B1891" t="s">
        <v>4</v>
      </c>
      <c r="C1891" t="s">
        <v>9</v>
      </c>
      <c r="D1891">
        <v>105</v>
      </c>
      <c r="E1891">
        <v>78</v>
      </c>
      <c r="F1891">
        <v>27</v>
      </c>
      <c r="G1891">
        <v>4</v>
      </c>
      <c r="H1891" s="1">
        <v>3.7962962962962963E-3</v>
      </c>
      <c r="I1891">
        <v>2014</v>
      </c>
      <c r="J1891" t="s">
        <v>12</v>
      </c>
      <c r="K1891" s="2" t="str">
        <f>HYPERLINK("https://www.nba.com/stats/events?CFID=&amp;CFPARAMS=&amp;GameEventID=383&amp;GameID=0021401107&amp;Season=2014-15&amp;flag=1&amp;title=McCollum%2023'%20Jump%20Shot%20(4%20PTS)%20(Leonard%201%20AST)", "McCollum 23' Jump Shot (4 PTS) (Leonard 1 AST)")</f>
        <v>McCollum 23' Jump Shot (4 PTS) (Leonard 1 AST)</v>
      </c>
      <c r="L1891" s="2" t="str">
        <f>HYPERLINK("https://www.nba.com/game/...-vs-...-0021401107/play-by-play?watchFullGame=true", "POR vs PHX - Q4 05:28.00")</f>
        <v>POR vs PHX - Q4 05:28.00</v>
      </c>
      <c r="M1891">
        <v>23</v>
      </c>
      <c r="N1891">
        <v>54</v>
      </c>
      <c r="O1891">
        <v>224</v>
      </c>
      <c r="P1891">
        <v>54</v>
      </c>
      <c r="Q1891">
        <v>224</v>
      </c>
      <c r="R1891" t="s">
        <v>0</v>
      </c>
      <c r="S1891" t="s">
        <v>0</v>
      </c>
      <c r="T1891" t="s">
        <v>0</v>
      </c>
    </row>
    <row r="1892" spans="1:20" x14ac:dyDescent="0.25">
      <c r="A1892">
        <v>21401150</v>
      </c>
      <c r="B1892" t="s">
        <v>4</v>
      </c>
      <c r="C1892" t="s">
        <v>9</v>
      </c>
      <c r="D1892">
        <v>4</v>
      </c>
      <c r="E1892">
        <v>0</v>
      </c>
      <c r="F1892">
        <v>4</v>
      </c>
      <c r="G1892">
        <v>1</v>
      </c>
      <c r="H1892" s="1">
        <v>7.5694444444444446E-3</v>
      </c>
      <c r="I1892">
        <v>2014</v>
      </c>
      <c r="J1892" t="s">
        <v>7</v>
      </c>
      <c r="K1892" s="2" t="str">
        <f>HYPERLINK("https://www.nba.com/stats/events?CFID=&amp;CFPARAMS=&amp;GameEventID=7&amp;GameID=0021401150&amp;Season=2014-15&amp;flag=1&amp;title=Duncan%2017'%20Jump%20Shot%20(2%20PTS)%20(Leonard%201%20AST)", "Duncan 17' Jump Shot (2 PTS) (Leonard 1 AST)")</f>
        <v>Duncan 17' Jump Shot (2 PTS) (Leonard 1 AST)</v>
      </c>
      <c r="L1892" s="2" t="str">
        <f>HYPERLINK("https://www.nba.com/game/...-vs-...-0021401150/play-by-play?watchFullGame=true", "SAS vs GSW - Q1 10:54.00")</f>
        <v>SAS vs GSW - Q1 10:54.00</v>
      </c>
      <c r="M1892">
        <v>17</v>
      </c>
      <c r="N1892">
        <v>92</v>
      </c>
      <c r="O1892">
        <v>145</v>
      </c>
      <c r="P1892">
        <v>92</v>
      </c>
      <c r="Q1892">
        <v>145</v>
      </c>
      <c r="R1892" t="s">
        <v>0</v>
      </c>
      <c r="S1892" t="s">
        <v>0</v>
      </c>
      <c r="T1892" t="s">
        <v>0</v>
      </c>
    </row>
    <row r="1893" spans="1:20" x14ac:dyDescent="0.25">
      <c r="A1893">
        <v>21401223</v>
      </c>
      <c r="B1893" t="s">
        <v>4</v>
      </c>
      <c r="C1893" t="s">
        <v>19</v>
      </c>
      <c r="D1893">
        <v>47</v>
      </c>
      <c r="E1893">
        <v>63</v>
      </c>
      <c r="F1893">
        <v>16</v>
      </c>
      <c r="G1893">
        <v>2</v>
      </c>
      <c r="H1893" s="1">
        <v>0</v>
      </c>
      <c r="I1893">
        <v>2014</v>
      </c>
      <c r="J1893" t="s">
        <v>7</v>
      </c>
      <c r="K1893" s="2" t="str">
        <f>HYPERLINK("https://www.nba.com/stats/events?CFID=&amp;CFPARAMS=&amp;GameEventID=215&amp;GameID=0021401223&amp;Season=2014-15&amp;flag=1&amp;title=Parker%2020'%20Pullup%20Jump%20Shot%20(16%20PTS)%20(Leonard%202%20AST)", "Parker 20' Pullup Jump Shot (16 PTS) (Leonard 2 AST)")</f>
        <v>Parker 20' Pullup Jump Shot (16 PTS) (Leonard 2 AST)</v>
      </c>
      <c r="L1893" s="2" t="str">
        <f>HYPERLINK("https://www.nba.com/game/...-vs-...-0021401223/play-by-play?watchFullGame=true", "SAS vs NOP - Q2 00:00.00")</f>
        <v>SAS vs NOP - Q2 00:00.00</v>
      </c>
      <c r="M1893">
        <v>20</v>
      </c>
      <c r="N1893">
        <v>92</v>
      </c>
      <c r="O1893">
        <v>172</v>
      </c>
      <c r="P1893">
        <v>92</v>
      </c>
      <c r="Q1893">
        <v>172</v>
      </c>
      <c r="R1893" t="s">
        <v>0</v>
      </c>
      <c r="S1893" t="s">
        <v>0</v>
      </c>
      <c r="T1893" t="s">
        <v>0</v>
      </c>
    </row>
    <row r="1894" spans="1:20" x14ac:dyDescent="0.25">
      <c r="A1894">
        <v>21500103</v>
      </c>
      <c r="B1894" t="s">
        <v>4</v>
      </c>
      <c r="C1894" t="s">
        <v>23</v>
      </c>
      <c r="D1894">
        <v>44</v>
      </c>
      <c r="E1894">
        <v>37</v>
      </c>
      <c r="F1894">
        <v>7</v>
      </c>
      <c r="G1894">
        <v>2</v>
      </c>
      <c r="H1894" s="1">
        <v>2.7430555555555554E-3</v>
      </c>
      <c r="I1894">
        <v>2015</v>
      </c>
      <c r="J1894" t="s">
        <v>7</v>
      </c>
      <c r="K1894" s="2" t="str">
        <f>HYPERLINK("https://www.nba.com/stats/events?CFID=&amp;CFPARAMS=&amp;GameEventID=198&amp;GameID=0021500103&amp;Season=2015-16&amp;flag=1&amp;title=Parker%202'%20Driving%20Layup%20(8%20PTS)%20(Leonard%202%20AST)", "Parker 2' Driving Layup (8 PTS) (Leonard 2 AST)")</f>
        <v>Parker 2' Driving Layup (8 PTS) (Leonard 2 AST)</v>
      </c>
      <c r="L1894" s="2" t="str">
        <f>HYPERLINK("https://www.nba.com/game/...-vs-...-0021500103/play-by-play?watchFullGame=true", "SAS vs SAC - Q2 03:57.00")</f>
        <v>SAS vs SAC - Q2 03:57.00</v>
      </c>
      <c r="M1894">
        <v>2</v>
      </c>
      <c r="N1894">
        <v>17</v>
      </c>
      <c r="O1894">
        <v>7</v>
      </c>
      <c r="P1894">
        <v>17</v>
      </c>
      <c r="Q1894">
        <v>7</v>
      </c>
      <c r="R1894" t="s">
        <v>0</v>
      </c>
      <c r="S1894" t="s">
        <v>0</v>
      </c>
      <c r="T1894" t="s">
        <v>0</v>
      </c>
    </row>
    <row r="1895" spans="1:20" x14ac:dyDescent="0.25">
      <c r="A1895">
        <v>21500280</v>
      </c>
      <c r="B1895" t="s">
        <v>4</v>
      </c>
      <c r="C1895" t="s">
        <v>9</v>
      </c>
      <c r="D1895">
        <v>29</v>
      </c>
      <c r="E1895">
        <v>25</v>
      </c>
      <c r="F1895">
        <v>4</v>
      </c>
      <c r="G1895">
        <v>2</v>
      </c>
      <c r="H1895" s="1">
        <v>5.5671296296296293E-3</v>
      </c>
      <c r="I1895">
        <v>2015</v>
      </c>
      <c r="J1895" t="s">
        <v>7</v>
      </c>
      <c r="K1895" s="2" t="str">
        <f>HYPERLINK("https://www.nba.com/stats/events?CFID=&amp;CFPARAMS=&amp;GameEventID=170&amp;GameID=0021500280&amp;Season=2015-16&amp;flag=1&amp;title=Parker%2022'%20Jump%20Shot%20(8%20PTS)%20(Leonard%202%20AST)", "Parker 22' Jump Shot (8 PTS) (Leonard 2 AST)")</f>
        <v>Parker 22' Jump Shot (8 PTS) (Leonard 2 AST)</v>
      </c>
      <c r="L1895" s="2" t="str">
        <f>HYPERLINK("https://www.nba.com/game/...-vs-...-0021500280/play-by-play?watchFullGame=true", "SAS vs MEM - Q2 08:01.00")</f>
        <v>SAS vs MEM - Q2 08:01.00</v>
      </c>
      <c r="M1895">
        <v>22</v>
      </c>
      <c r="N1895">
        <v>-160</v>
      </c>
      <c r="O1895">
        <v>144</v>
      </c>
      <c r="P1895">
        <v>-160</v>
      </c>
      <c r="Q1895">
        <v>144</v>
      </c>
      <c r="R1895" t="s">
        <v>0</v>
      </c>
      <c r="S1895" t="s">
        <v>0</v>
      </c>
      <c r="T1895" t="s">
        <v>0</v>
      </c>
    </row>
    <row r="1896" spans="1:20" x14ac:dyDescent="0.25">
      <c r="A1896">
        <v>21500296</v>
      </c>
      <c r="B1896" t="s">
        <v>4</v>
      </c>
      <c r="C1896" t="s">
        <v>5</v>
      </c>
      <c r="D1896">
        <v>94</v>
      </c>
      <c r="E1896">
        <v>79</v>
      </c>
      <c r="F1896">
        <v>15</v>
      </c>
      <c r="G1896">
        <v>4</v>
      </c>
      <c r="H1896" s="1">
        <v>5.0462962962962961E-3</v>
      </c>
      <c r="I1896">
        <v>2015</v>
      </c>
      <c r="J1896" t="s">
        <v>7</v>
      </c>
      <c r="K1896" s="2" t="str">
        <f>HYPERLINK("https://www.nba.com/stats/events?CFID=&amp;CFPARAMS=&amp;GameEventID=411&amp;GameID=0021500296&amp;Season=2015-16&amp;flag=1&amp;title=Diaw%202'%20Layup%20(16%20PTS)%20(Leonard%204%20AST)", "Diaw 2' Layup (16 PTS) (Leonard 4 AST)")</f>
        <v>Diaw 2' Layup (16 PTS) (Leonard 4 AST)</v>
      </c>
      <c r="L1896" s="2" t="str">
        <f>HYPERLINK("https://www.nba.com/game/...-vs-...-0021500296/play-by-play?watchFullGame=true", "SAS vs BOS - Q4 07:16.00")</f>
        <v>SAS vs BOS - Q4 07:16.00</v>
      </c>
      <c r="M1896">
        <v>2</v>
      </c>
      <c r="N1896">
        <v>14</v>
      </c>
      <c r="O1896">
        <v>18</v>
      </c>
      <c r="P1896">
        <v>14</v>
      </c>
      <c r="Q1896">
        <v>18</v>
      </c>
      <c r="R1896" t="s">
        <v>0</v>
      </c>
      <c r="S1896" t="s">
        <v>0</v>
      </c>
      <c r="T1896" t="s">
        <v>0</v>
      </c>
    </row>
    <row r="1897" spans="1:20" x14ac:dyDescent="0.25">
      <c r="A1897">
        <v>21800303</v>
      </c>
      <c r="B1897" t="s">
        <v>10</v>
      </c>
      <c r="C1897" t="s">
        <v>9</v>
      </c>
      <c r="D1897">
        <v>110</v>
      </c>
      <c r="E1897">
        <v>107</v>
      </c>
      <c r="F1897">
        <v>3</v>
      </c>
      <c r="G1897">
        <v>4</v>
      </c>
      <c r="H1897" s="1">
        <v>3.1828703703703702E-3</v>
      </c>
      <c r="I1897">
        <v>2018</v>
      </c>
      <c r="J1897" t="s">
        <v>1</v>
      </c>
      <c r="K1897" s="2" t="str">
        <f>HYPERLINK("https://www.nba.com/stats/events?CFID=&amp;CFPARAMS=&amp;GameEventID=572&amp;GameID=0021800303&amp;Season=2018-19&amp;flag=1&amp;title=Lowry%203PT%20Jump%20Shot%20(24%20PTS)%20(Leonard%203%20AST)", "Lowry 3PT Jump Shot (24 PTS) (Leonard 3 AST)")</f>
        <v>Lowry 3PT Jump Shot (24 PTS) (Leonard 3 AST)</v>
      </c>
      <c r="L1897" s="2" t="str">
        <f>HYPERLINK("https://www.nba.com/game/...-vs-...-0021800303/play-by-play?watchFullGame=true", "TOR vs MEM - Q4 04:35.00")</f>
        <v>TOR vs MEM - Q4 04:35.00</v>
      </c>
      <c r="M1897">
        <v>0</v>
      </c>
      <c r="N1897">
        <v>-230</v>
      </c>
      <c r="O1897">
        <v>6</v>
      </c>
      <c r="P1897">
        <v>-230</v>
      </c>
      <c r="Q1897">
        <v>6</v>
      </c>
      <c r="R1897" t="s">
        <v>0</v>
      </c>
      <c r="S1897" t="s">
        <v>0</v>
      </c>
      <c r="T1897" t="s">
        <v>0</v>
      </c>
    </row>
    <row r="1898" spans="1:20" x14ac:dyDescent="0.25">
      <c r="A1898">
        <v>21800303</v>
      </c>
      <c r="B1898" t="s">
        <v>10</v>
      </c>
      <c r="C1898" t="s">
        <v>3</v>
      </c>
      <c r="D1898">
        <v>113</v>
      </c>
      <c r="E1898">
        <v>107</v>
      </c>
      <c r="F1898">
        <v>6</v>
      </c>
      <c r="G1898">
        <v>4</v>
      </c>
      <c r="H1898" s="1">
        <v>2.8009259259259259E-3</v>
      </c>
      <c r="I1898">
        <v>2018</v>
      </c>
      <c r="J1898" t="s">
        <v>1</v>
      </c>
      <c r="K1898" s="2" t="str">
        <f>HYPERLINK("https://www.nba.com/stats/events?CFID=&amp;CFPARAMS=&amp;GameEventID=577&amp;GameID=0021800303&amp;Season=2018-19&amp;flag=1&amp;title=VanVleet%203PT%20Running%20Jump%20Shot%20(13%20PTS)%20(Leonard%204%20AST)", "VanVleet 3PT Running Jump Shot (13 PTS) (Leonard 4 AST)")</f>
        <v>VanVleet 3PT Running Jump Shot (13 PTS) (Leonard 4 AST)</v>
      </c>
      <c r="L1898" s="2" t="str">
        <f>HYPERLINK("https://www.nba.com/game/...-vs-...-0021800303/play-by-play?watchFullGame=true", "TOR vs MEM - Q4 04:02.00")</f>
        <v>TOR vs MEM - Q4 04:02.00</v>
      </c>
      <c r="M1898">
        <v>0</v>
      </c>
      <c r="N1898">
        <v>231</v>
      </c>
      <c r="O1898">
        <v>13</v>
      </c>
      <c r="P1898">
        <v>231</v>
      </c>
      <c r="Q1898">
        <v>13</v>
      </c>
      <c r="R1898" t="s">
        <v>0</v>
      </c>
      <c r="S1898" t="s">
        <v>0</v>
      </c>
      <c r="T1898" t="s">
        <v>0</v>
      </c>
    </row>
    <row r="1899" spans="1:20" x14ac:dyDescent="0.25">
      <c r="A1899">
        <v>21800602</v>
      </c>
      <c r="B1899" t="s">
        <v>4</v>
      </c>
      <c r="C1899" t="s">
        <v>6</v>
      </c>
      <c r="D1899">
        <v>74</v>
      </c>
      <c r="E1899">
        <v>70</v>
      </c>
      <c r="F1899">
        <v>4</v>
      </c>
      <c r="G1899">
        <v>3</v>
      </c>
      <c r="H1899" s="1">
        <v>3.472222222222222E-3</v>
      </c>
      <c r="I1899">
        <v>2018</v>
      </c>
      <c r="J1899" t="s">
        <v>1</v>
      </c>
      <c r="K1899" s="2" t="str">
        <f>HYPERLINK("https://www.nba.com/stats/events?CFID=&amp;CFPARAMS=&amp;GameEventID=466&amp;GameID=0021800602&amp;Season=2018-19&amp;flag=1&amp;title=Siakam%201'%20Cutting%20Dunk%20Shot%20(9%20PTS)%20(Leonard%205%20AST)", "Siakam 1' Cutting Dunk Shot (9 PTS) (Leonard 5 AST)")</f>
        <v>Siakam 1' Cutting Dunk Shot (9 PTS) (Leonard 5 AST)</v>
      </c>
      <c r="L1899" s="2" t="str">
        <f>HYPERLINK("https://www.nba.com/game/...-vs-...-0021800602/play-by-play?watchFullGame=true", "TOR vs ATL - Q3 05:00.00")</f>
        <v>TOR vs ATL - Q3 05:00.00</v>
      </c>
      <c r="M1899">
        <v>1</v>
      </c>
      <c r="N1899">
        <v>7</v>
      </c>
      <c r="O1899">
        <v>1</v>
      </c>
      <c r="P1899">
        <v>7</v>
      </c>
      <c r="Q1899">
        <v>1</v>
      </c>
      <c r="R1899" t="s">
        <v>0</v>
      </c>
      <c r="S1899" t="s">
        <v>0</v>
      </c>
      <c r="T1899" t="s">
        <v>0</v>
      </c>
    </row>
    <row r="1900" spans="1:20" x14ac:dyDescent="0.25">
      <c r="A1900">
        <v>21800602</v>
      </c>
      <c r="B1900" t="s">
        <v>10</v>
      </c>
      <c r="C1900" t="s">
        <v>9</v>
      </c>
      <c r="D1900">
        <v>61</v>
      </c>
      <c r="E1900">
        <v>63</v>
      </c>
      <c r="F1900">
        <v>2</v>
      </c>
      <c r="G1900">
        <v>3</v>
      </c>
      <c r="H1900" s="1">
        <v>6.5162037037037037E-3</v>
      </c>
      <c r="I1900">
        <v>2018</v>
      </c>
      <c r="J1900" t="s">
        <v>1</v>
      </c>
      <c r="K1900" s="2" t="str">
        <f>HYPERLINK("https://www.nba.com/stats/events?CFID=&amp;CFPARAMS=&amp;GameEventID=386&amp;GameID=0021800602&amp;Season=2018-19&amp;flag=1&amp;title=Lowry%2025'%203PT%20Jump%20Shot%20(11%20PTS)%20(Leonard%204%20AST)", "Lowry 25' 3PT Jump Shot (11 PTS) (Leonard 4 AST)")</f>
        <v>Lowry 25' 3PT Jump Shot (11 PTS) (Leonard 4 AST)</v>
      </c>
      <c r="L1900" s="2" t="str">
        <f>HYPERLINK("https://www.nba.com/game/...-vs-...-0021800602/play-by-play?watchFullGame=true", "TOR vs ATL - Q3 09:23.00")</f>
        <v>TOR vs ATL - Q3 09:23.00</v>
      </c>
      <c r="M1900">
        <v>25</v>
      </c>
      <c r="N1900">
        <v>0</v>
      </c>
      <c r="O1900">
        <v>247</v>
      </c>
      <c r="P1900">
        <v>0</v>
      </c>
      <c r="Q1900">
        <v>247</v>
      </c>
      <c r="R1900" t="s">
        <v>0</v>
      </c>
      <c r="S1900" t="s">
        <v>0</v>
      </c>
      <c r="T1900" t="s">
        <v>0</v>
      </c>
    </row>
    <row r="1901" spans="1:20" x14ac:dyDescent="0.25">
      <c r="A1901">
        <v>21800624</v>
      </c>
      <c r="B1901" t="s">
        <v>4</v>
      </c>
      <c r="C1901" t="s">
        <v>16</v>
      </c>
      <c r="D1901">
        <v>73</v>
      </c>
      <c r="E1901">
        <v>57</v>
      </c>
      <c r="F1901">
        <v>16</v>
      </c>
      <c r="G1901">
        <v>3</v>
      </c>
      <c r="H1901" s="1">
        <v>6.5162037037037037E-3</v>
      </c>
      <c r="I1901">
        <v>2018</v>
      </c>
      <c r="J1901" t="s">
        <v>1</v>
      </c>
      <c r="K1901" s="2" t="str">
        <f>HYPERLINK("https://www.nba.com/stats/events?CFID=&amp;CFPARAMS=&amp;GameEventID=360&amp;GameID=0021800624&amp;Season=2018-19&amp;flag=1&amp;title=Siakam%201'%20Running%20Dunk%20(11%20PTS)%20(Leonard%203%20AST)", "Siakam 1' Running Dunk (11 PTS) (Leonard 3 AST)")</f>
        <v>Siakam 1' Running Dunk (11 PTS) (Leonard 3 AST)</v>
      </c>
      <c r="L1901" s="2" t="str">
        <f>HYPERLINK("https://www.nba.com/game/...-vs-...-0021800624/play-by-play?watchFullGame=true", "TOR vs BKN - Q3 09:23.00")</f>
        <v>TOR vs BKN - Q3 09:23.00</v>
      </c>
      <c r="M1901">
        <v>1</v>
      </c>
      <c r="N1901">
        <v>-1</v>
      </c>
      <c r="O1901">
        <v>13</v>
      </c>
      <c r="P1901">
        <v>-1</v>
      </c>
      <c r="Q1901">
        <v>13</v>
      </c>
      <c r="R1901" t="s">
        <v>0</v>
      </c>
      <c r="S1901" t="s">
        <v>0</v>
      </c>
      <c r="T1901" t="s">
        <v>0</v>
      </c>
    </row>
    <row r="1902" spans="1:20" x14ac:dyDescent="0.25">
      <c r="A1902">
        <v>21800658</v>
      </c>
      <c r="B1902" t="s">
        <v>10</v>
      </c>
      <c r="C1902" t="s">
        <v>9</v>
      </c>
      <c r="D1902">
        <v>69</v>
      </c>
      <c r="E1902">
        <v>77</v>
      </c>
      <c r="F1902">
        <v>8</v>
      </c>
      <c r="G1902">
        <v>3</v>
      </c>
      <c r="H1902" s="1">
        <v>4.178240740740741E-3</v>
      </c>
      <c r="I1902">
        <v>2018</v>
      </c>
      <c r="J1902" t="s">
        <v>1</v>
      </c>
      <c r="K1902" s="2" t="str">
        <f>HYPERLINK("https://www.nba.com/stats/events?CFID=&amp;CFPARAMS=&amp;GameEventID=390&amp;GameID=0021800658&amp;Season=2018-19&amp;flag=1&amp;title=Green%2026'%203PT%20Jump%20Shot%20(13%20PTS)%20(Leonard%202%20AST)", "Green 26' 3PT Jump Shot (13 PTS) (Leonard 2 AST)")</f>
        <v>Green 26' 3PT Jump Shot (13 PTS) (Leonard 2 AST)</v>
      </c>
      <c r="L1902" s="2" t="str">
        <f>HYPERLINK("https://www.nba.com/game/...-vs-...-0021800658/play-by-play?watchFullGame=true", "TOR vs BOS - Q3 06:01.00")</f>
        <v>TOR vs BOS - Q3 06:01.00</v>
      </c>
      <c r="M1902">
        <v>26</v>
      </c>
      <c r="N1902">
        <v>210</v>
      </c>
      <c r="O1902">
        <v>156</v>
      </c>
      <c r="P1902">
        <v>210</v>
      </c>
      <c r="Q1902">
        <v>156</v>
      </c>
      <c r="R1902" t="s">
        <v>0</v>
      </c>
      <c r="S1902" t="s">
        <v>0</v>
      </c>
      <c r="T1902" t="s">
        <v>0</v>
      </c>
    </row>
    <row r="1903" spans="1:20" x14ac:dyDescent="0.25">
      <c r="A1903">
        <v>21800800</v>
      </c>
      <c r="B1903" t="s">
        <v>4</v>
      </c>
      <c r="C1903" t="s">
        <v>5</v>
      </c>
      <c r="D1903">
        <v>90</v>
      </c>
      <c r="E1903">
        <v>73</v>
      </c>
      <c r="F1903">
        <v>17</v>
      </c>
      <c r="G1903">
        <v>3</v>
      </c>
      <c r="H1903" s="1">
        <v>2.476851851851852E-3</v>
      </c>
      <c r="I1903">
        <v>2018</v>
      </c>
      <c r="J1903" t="s">
        <v>1</v>
      </c>
      <c r="K1903" s="2" t="str">
        <f>HYPERLINK("https://www.nba.com/stats/events?CFID=&amp;CFPARAMS=&amp;GameEventID=480&amp;GameID=0021800800&amp;Season=2018-19&amp;flag=1&amp;title=Powell%202'%20Layup%20(10%20PTS)%20(Leonard%202%20AST)", "Powell 2' Layup (10 PTS) (Leonard 2 AST)")</f>
        <v>Powell 2' Layup (10 PTS) (Leonard 2 AST)</v>
      </c>
      <c r="L1903" s="2" t="str">
        <f>HYPERLINK("https://www.nba.com/game/...-vs-...-0021800800/play-by-play?watchFullGame=true", "TOR vs PHI - Q3 03:34.00")</f>
        <v>TOR vs PHI - Q3 03:34.00</v>
      </c>
      <c r="M1903">
        <v>2</v>
      </c>
      <c r="N1903">
        <v>17</v>
      </c>
      <c r="O1903">
        <v>9</v>
      </c>
      <c r="P1903">
        <v>17</v>
      </c>
      <c r="Q1903">
        <v>9</v>
      </c>
      <c r="R1903" t="s">
        <v>0</v>
      </c>
      <c r="S1903" t="s">
        <v>0</v>
      </c>
      <c r="T1903" t="s">
        <v>0</v>
      </c>
    </row>
    <row r="1904" spans="1:20" x14ac:dyDescent="0.25">
      <c r="A1904">
        <v>21800803</v>
      </c>
      <c r="B1904" t="s">
        <v>10</v>
      </c>
      <c r="C1904" t="s">
        <v>9</v>
      </c>
      <c r="D1904">
        <v>82</v>
      </c>
      <c r="E1904">
        <v>94</v>
      </c>
      <c r="F1904">
        <v>12</v>
      </c>
      <c r="G1904">
        <v>4</v>
      </c>
      <c r="H1904" s="1">
        <v>7.9861111111111105E-3</v>
      </c>
      <c r="I1904">
        <v>2018</v>
      </c>
      <c r="J1904" t="s">
        <v>12</v>
      </c>
      <c r="K1904" s="2" t="str">
        <f>HYPERLINK("https://www.nba.com/stats/events?CFID=&amp;CFPARAMS=&amp;GameEventID=462&amp;GameID=0021800803&amp;Season=2018-19&amp;flag=1&amp;title=Layman%2026'%203PT%20Jump%20Shot%20(21%20PTS)%20(Leonard%201%20AST)", "Layman 26' 3PT Jump Shot (21 PTS) (Leonard 1 AST)")</f>
        <v>Layman 26' 3PT Jump Shot (21 PTS) (Leonard 1 AST)</v>
      </c>
      <c r="L1904" s="2" t="str">
        <f>HYPERLINK("https://www.nba.com/game/...-vs-...-0021800803/play-by-play?watchFullGame=true", "POR vs MIA - Q4 11:30.00")</f>
        <v>POR vs MIA - Q4 11:30.00</v>
      </c>
      <c r="M1904">
        <v>26</v>
      </c>
      <c r="N1904">
        <v>123</v>
      </c>
      <c r="O1904">
        <v>232</v>
      </c>
      <c r="P1904">
        <v>123</v>
      </c>
      <c r="Q1904">
        <v>232</v>
      </c>
      <c r="R1904" t="s">
        <v>0</v>
      </c>
      <c r="S1904" t="s">
        <v>0</v>
      </c>
      <c r="T1904" t="s">
        <v>0</v>
      </c>
    </row>
    <row r="1905" spans="1:20" x14ac:dyDescent="0.25">
      <c r="A1905">
        <v>21600639</v>
      </c>
      <c r="B1905" t="s">
        <v>10</v>
      </c>
      <c r="C1905" t="s">
        <v>9</v>
      </c>
      <c r="D1905">
        <v>18</v>
      </c>
      <c r="E1905">
        <v>16</v>
      </c>
      <c r="F1905">
        <v>2</v>
      </c>
      <c r="G1905">
        <v>1</v>
      </c>
      <c r="H1905" s="1">
        <v>2.8009259259259259E-3</v>
      </c>
      <c r="I1905">
        <v>2016</v>
      </c>
      <c r="J1905" t="s">
        <v>7</v>
      </c>
      <c r="K1905" s="2" t="str">
        <f>HYPERLINK("https://www.nba.com/stats/events?CFID=&amp;CFPARAMS=&amp;GameEventID=65&amp;GameID=0021600639&amp;Season=2016-17&amp;flag=1&amp;title=Murray%2025'%203PT%20Jump%20Shot%20(5%20PTS)%20(Leonard%201%20AST)", "Murray 25' 3PT Jump Shot (5 PTS) (Leonard 1 AST)")</f>
        <v>Murray 25' 3PT Jump Shot (5 PTS) (Leonard 1 AST)</v>
      </c>
      <c r="L1905" s="2" t="str">
        <f>HYPERLINK("https://www.nba.com/game/...-vs-...-0021600639/play-by-play?watchFullGame=true", "SAS vs DEN - Q1 04:02.00")</f>
        <v>SAS vs DEN - Q1 04:02.00</v>
      </c>
      <c r="M1905">
        <v>25</v>
      </c>
      <c r="N1905">
        <v>2</v>
      </c>
      <c r="O1905">
        <v>247</v>
      </c>
      <c r="P1905">
        <v>2</v>
      </c>
      <c r="Q1905">
        <v>247</v>
      </c>
      <c r="R1905" t="s">
        <v>0</v>
      </c>
      <c r="S1905" t="s">
        <v>0</v>
      </c>
      <c r="T1905" t="s">
        <v>0</v>
      </c>
    </row>
    <row r="1906" spans="1:20" x14ac:dyDescent="0.25">
      <c r="A1906">
        <v>21600728</v>
      </c>
      <c r="B1906" t="s">
        <v>4</v>
      </c>
      <c r="C1906" t="s">
        <v>31</v>
      </c>
      <c r="D1906">
        <v>112</v>
      </c>
      <c r="E1906">
        <v>92</v>
      </c>
      <c r="F1906">
        <v>20</v>
      </c>
      <c r="G1906">
        <v>4</v>
      </c>
      <c r="H1906" s="1">
        <v>7.291666666666667E-4</v>
      </c>
      <c r="I1906">
        <v>2016</v>
      </c>
      <c r="J1906" t="s">
        <v>12</v>
      </c>
      <c r="K1906" s="2" t="str">
        <f>HYPERLINK("https://www.nba.com/stats/events?CFID=&amp;CFPARAMS=&amp;GameEventID=508&amp;GameID=0021600728&amp;Season=2016-17&amp;flag=1&amp;title=Connaughton%202'%20Driving%20Reverse%20Layup%20(2%20PTS)%20(Leonard%203%20AST)", "Connaughton 2' Driving Reverse Layup (2 PTS) (Leonard 3 AST)")</f>
        <v>Connaughton 2' Driving Reverse Layup (2 PTS) (Leonard 3 AST)</v>
      </c>
      <c r="L1906" s="2" t="str">
        <f>HYPERLINK("https://www.nba.com/game/...-vs-...-0021600728/play-by-play?watchFullGame=true", "POR vs CHA - Q4 01:03.00")</f>
        <v>POR vs CHA - Q4 01:03.00</v>
      </c>
      <c r="M1906">
        <v>2</v>
      </c>
      <c r="N1906">
        <v>22</v>
      </c>
      <c r="O1906">
        <v>2</v>
      </c>
      <c r="P1906">
        <v>22</v>
      </c>
      <c r="Q1906">
        <v>2</v>
      </c>
      <c r="R1906" t="s">
        <v>0</v>
      </c>
      <c r="S1906" t="s">
        <v>0</v>
      </c>
      <c r="T1906" t="s">
        <v>0</v>
      </c>
    </row>
    <row r="1907" spans="1:20" x14ac:dyDescent="0.25">
      <c r="A1907">
        <v>21600925</v>
      </c>
      <c r="B1907" t="s">
        <v>10</v>
      </c>
      <c r="C1907" t="s">
        <v>9</v>
      </c>
      <c r="D1907">
        <v>90</v>
      </c>
      <c r="E1907">
        <v>88</v>
      </c>
      <c r="F1907">
        <v>2</v>
      </c>
      <c r="G1907">
        <v>5</v>
      </c>
      <c r="H1907" s="1">
        <v>2.2916666666666667E-3</v>
      </c>
      <c r="I1907">
        <v>2016</v>
      </c>
      <c r="J1907" t="s">
        <v>7</v>
      </c>
      <c r="K1907" s="2" t="str">
        <f>HYPERLINK("https://www.nba.com/stats/events?CFID=&amp;CFPARAMS=&amp;GameEventID=536&amp;GameID=0021600925&amp;Season=2016-17&amp;flag=1&amp;title=Gasol%2024'%203PT%20Jump%20Shot%20(17%20PTS)%20(Leonard%205%20AST)", "Gasol 24' 3PT Jump Shot (17 PTS) (Leonard 5 AST)")</f>
        <v>Gasol 24' 3PT Jump Shot (17 PTS) (Leonard 5 AST)</v>
      </c>
      <c r="L1907" s="2" t="str">
        <f>HYPERLINK("https://www.nba.com/game/...-vs-...-0021600925/play-by-play?watchFullGame=true", "SAS vs MIN - Q5 03:18.00")</f>
        <v>SAS vs MIN - Q5 03:18.00</v>
      </c>
      <c r="M1907">
        <v>24</v>
      </c>
      <c r="N1907">
        <v>-22</v>
      </c>
      <c r="O1907">
        <v>242</v>
      </c>
      <c r="P1907">
        <v>-22</v>
      </c>
      <c r="Q1907">
        <v>242</v>
      </c>
      <c r="R1907" t="s">
        <v>0</v>
      </c>
      <c r="S1907" t="s">
        <v>0</v>
      </c>
      <c r="T1907" t="s">
        <v>0</v>
      </c>
    </row>
    <row r="1908" spans="1:20" x14ac:dyDescent="0.25">
      <c r="A1908">
        <v>21600926</v>
      </c>
      <c r="B1908" t="s">
        <v>10</v>
      </c>
      <c r="C1908" t="s">
        <v>9</v>
      </c>
      <c r="D1908">
        <v>90</v>
      </c>
      <c r="E1908">
        <v>82</v>
      </c>
      <c r="F1908">
        <v>8</v>
      </c>
      <c r="G1908">
        <v>3</v>
      </c>
      <c r="H1908" s="1">
        <v>2.2685185185185186E-4</v>
      </c>
      <c r="I1908">
        <v>2016</v>
      </c>
      <c r="J1908" t="s">
        <v>12</v>
      </c>
      <c r="K1908" s="2" t="str">
        <f>HYPERLINK("https://www.nba.com/stats/events?CFID=&amp;CFPARAMS=&amp;GameEventID=357&amp;GameID=0021600926&amp;Season=2016-17&amp;flag=1&amp;title=McCollum%20%203PT%20Jump%20Shot%20(19%20PTS)%20(Leonard%201%20AST)", "McCollum  3PT Jump Shot (19 PTS) (Leonard 1 AST)")</f>
        <v>McCollum  3PT Jump Shot (19 PTS) (Leonard 1 AST)</v>
      </c>
      <c r="L1908" s="2" t="str">
        <f>HYPERLINK("https://www.nba.com/game/...-vs-...-0021600926/play-by-play?watchFullGame=true", "POR vs BKN - Q3 00:19.60")</f>
        <v>POR vs BKN - Q3 00:19.60</v>
      </c>
      <c r="M1908">
        <v>0</v>
      </c>
      <c r="N1908">
        <v>223</v>
      </c>
      <c r="O1908">
        <v>38</v>
      </c>
      <c r="P1908">
        <v>223</v>
      </c>
      <c r="Q1908">
        <v>38</v>
      </c>
      <c r="R1908" t="s">
        <v>0</v>
      </c>
      <c r="S1908" t="s">
        <v>0</v>
      </c>
      <c r="T1908" t="s">
        <v>0</v>
      </c>
    </row>
    <row r="1909" spans="1:20" x14ac:dyDescent="0.25">
      <c r="A1909">
        <v>21600994</v>
      </c>
      <c r="B1909" t="s">
        <v>10</v>
      </c>
      <c r="C1909" t="s">
        <v>9</v>
      </c>
      <c r="D1909">
        <v>97</v>
      </c>
      <c r="E1909">
        <v>89</v>
      </c>
      <c r="F1909">
        <v>8</v>
      </c>
      <c r="G1909">
        <v>4</v>
      </c>
      <c r="H1909" s="1">
        <v>2.9398148148148148E-3</v>
      </c>
      <c r="I1909">
        <v>2016</v>
      </c>
      <c r="J1909" t="s">
        <v>7</v>
      </c>
      <c r="K1909" s="2" t="str">
        <f>HYPERLINK("https://www.nba.com/stats/events?CFID=&amp;CFPARAMS=&amp;GameEventID=490&amp;GameID=0021600994&amp;Season=2016-17&amp;flag=1&amp;title=Mills%20%203PT%20Jump%20Shot%20(13%20PTS)%20(Leonard%204%20AST)", "Mills  3PT Jump Shot (13 PTS) (Leonard 4 AST)")</f>
        <v>Mills  3PT Jump Shot (13 PTS) (Leonard 4 AST)</v>
      </c>
      <c r="L1909" s="2" t="str">
        <f>HYPERLINK("https://www.nba.com/game/...-vs-...-0021600994/play-by-play?watchFullGame=true", "SAS vs ATL - Q4 04:14.00")</f>
        <v>SAS vs ATL - Q4 04:14.00</v>
      </c>
      <c r="M1909">
        <v>0</v>
      </c>
      <c r="N1909">
        <v>225</v>
      </c>
      <c r="O1909">
        <v>-6</v>
      </c>
      <c r="P1909">
        <v>225</v>
      </c>
      <c r="Q1909">
        <v>-6</v>
      </c>
      <c r="R1909" t="s">
        <v>0</v>
      </c>
      <c r="S1909" t="s">
        <v>0</v>
      </c>
      <c r="T1909" t="s">
        <v>0</v>
      </c>
    </row>
    <row r="1910" spans="1:20" x14ac:dyDescent="0.25">
      <c r="A1910">
        <v>21701045</v>
      </c>
      <c r="B1910" t="s">
        <v>10</v>
      </c>
      <c r="C1910" t="s">
        <v>9</v>
      </c>
      <c r="D1910">
        <v>16</v>
      </c>
      <c r="E1910">
        <v>9</v>
      </c>
      <c r="F1910">
        <v>7</v>
      </c>
      <c r="G1910">
        <v>1</v>
      </c>
      <c r="H1910" s="1">
        <v>4.4675925925925924E-3</v>
      </c>
      <c r="I1910">
        <v>2017</v>
      </c>
      <c r="J1910" t="s">
        <v>12</v>
      </c>
      <c r="K1910" s="2" t="str">
        <f>HYPERLINK("https://www.nba.com/stats/events?CFID=&amp;CFPARAMS=&amp;GameEventID=62&amp;GameID=0021701045&amp;Season=2017-18&amp;flag=1&amp;title=Aminu%203PT%20Jump%20Shot%20(3%20PTS)%20(Leonard%201%20AST)", "Aminu 3PT Jump Shot (3 PTS) (Leonard 1 AST)")</f>
        <v>Aminu 3PT Jump Shot (3 PTS) (Leonard 1 AST)</v>
      </c>
      <c r="L1910" s="2" t="str">
        <f>HYPERLINK("https://www.nba.com/game/...-vs-...-0021701045/play-by-play?watchFullGame=true", "POR vs DET - Q1 06:26.00")</f>
        <v>POR vs DET - Q1 06:26.00</v>
      </c>
      <c r="M1910">
        <v>0</v>
      </c>
      <c r="N1910">
        <v>-231</v>
      </c>
      <c r="O1910">
        <v>-17</v>
      </c>
      <c r="P1910">
        <v>-231</v>
      </c>
      <c r="Q1910">
        <v>-17</v>
      </c>
      <c r="R1910" t="s">
        <v>0</v>
      </c>
      <c r="S1910" t="s">
        <v>0</v>
      </c>
      <c r="T1910" t="s">
        <v>0</v>
      </c>
    </row>
    <row r="1911" spans="1:20" x14ac:dyDescent="0.25">
      <c r="A1911">
        <v>21701164</v>
      </c>
      <c r="B1911" t="s">
        <v>10</v>
      </c>
      <c r="C1911" t="s">
        <v>9</v>
      </c>
      <c r="D1911">
        <v>25</v>
      </c>
      <c r="E1911">
        <v>31</v>
      </c>
      <c r="F1911">
        <v>6</v>
      </c>
      <c r="G1911">
        <v>2</v>
      </c>
      <c r="H1911" s="1">
        <v>6.8865740740740745E-3</v>
      </c>
      <c r="I1911">
        <v>2017</v>
      </c>
      <c r="J1911" t="s">
        <v>12</v>
      </c>
      <c r="K1911" s="2" t="str">
        <f>HYPERLINK("https://www.nba.com/stats/events?CFID=&amp;CFPARAMS=&amp;GameEventID=165&amp;GameID=0021701164&amp;Season=2017-18&amp;flag=1&amp;title=Napier%2026'%203PT%20Jump%20Shot%20(3%20PTS)%20(Leonard%201%20AST)", "Napier 26' 3PT Jump Shot (3 PTS) (Leonard 1 AST)")</f>
        <v>Napier 26' 3PT Jump Shot (3 PTS) (Leonard 1 AST)</v>
      </c>
      <c r="L1911" s="2" t="str">
        <f>HYPERLINK("https://www.nba.com/game/...-vs-...-0021701164/play-by-play?watchFullGame=true", "POR vs DAL - Q2 09:55.00")</f>
        <v>POR vs DAL - Q2 09:55.00</v>
      </c>
      <c r="M1911">
        <v>26</v>
      </c>
      <c r="N1911">
        <v>-228</v>
      </c>
      <c r="O1911">
        <v>115</v>
      </c>
      <c r="P1911">
        <v>-228</v>
      </c>
      <c r="Q1911">
        <v>115</v>
      </c>
      <c r="R1911" t="s">
        <v>0</v>
      </c>
      <c r="S1911" t="s">
        <v>0</v>
      </c>
      <c r="T1911" t="s">
        <v>0</v>
      </c>
    </row>
    <row r="1912" spans="1:20" x14ac:dyDescent="0.25">
      <c r="A1912">
        <v>21800016</v>
      </c>
      <c r="B1912" t="s">
        <v>10</v>
      </c>
      <c r="C1912" t="s">
        <v>9</v>
      </c>
      <c r="D1912">
        <v>31</v>
      </c>
      <c r="E1912">
        <v>29</v>
      </c>
      <c r="F1912">
        <v>2</v>
      </c>
      <c r="G1912">
        <v>1</v>
      </c>
      <c r="H1912" s="1">
        <v>8.9120370370370373E-4</v>
      </c>
      <c r="I1912">
        <v>2018</v>
      </c>
      <c r="J1912" t="s">
        <v>12</v>
      </c>
      <c r="K1912" s="2" t="str">
        <f>HYPERLINK("https://www.nba.com/stats/events?CFID=&amp;CFPARAMS=&amp;GameEventID=166&amp;GameID=0021800016&amp;Season=2018-19&amp;flag=1&amp;title=Stauskas%2025'%203PT%20Jump%20Shot%20(3%20PTS)%20(Leonard%201%20AST)", "Stauskas 25' 3PT Jump Shot (3 PTS) (Leonard 1 AST)")</f>
        <v>Stauskas 25' 3PT Jump Shot (3 PTS) (Leonard 1 AST)</v>
      </c>
      <c r="L1912" s="2" t="str">
        <f>HYPERLINK("https://www.nba.com/game/...-vs-...-0021800016/play-by-play?watchFullGame=true", "POR vs LAL - Q1 01:17.00")</f>
        <v>POR vs LAL - Q1 01:17.00</v>
      </c>
      <c r="M1912">
        <v>25</v>
      </c>
      <c r="N1912">
        <v>-144</v>
      </c>
      <c r="O1912">
        <v>210</v>
      </c>
      <c r="P1912">
        <v>-144</v>
      </c>
      <c r="Q1912">
        <v>210</v>
      </c>
      <c r="R1912" t="s">
        <v>0</v>
      </c>
      <c r="S1912" t="s">
        <v>0</v>
      </c>
      <c r="T1912" t="s">
        <v>0</v>
      </c>
    </row>
    <row r="1913" spans="1:20" x14ac:dyDescent="0.25">
      <c r="A1913">
        <v>21601151</v>
      </c>
      <c r="B1913" t="s">
        <v>4</v>
      </c>
      <c r="C1913" t="s">
        <v>17</v>
      </c>
      <c r="D1913">
        <v>54</v>
      </c>
      <c r="E1913">
        <v>52</v>
      </c>
      <c r="F1913">
        <v>2</v>
      </c>
      <c r="G1913">
        <v>2</v>
      </c>
      <c r="H1913" s="1">
        <v>6.712962962962963E-5</v>
      </c>
      <c r="I1913">
        <v>2016</v>
      </c>
      <c r="J1913" t="s">
        <v>7</v>
      </c>
      <c r="K1913" s="2" t="str">
        <f>HYPERLINK("https://www.nba.com/stats/events?CFID=&amp;CFPARAMS=&amp;GameEventID=215&amp;GameID=0021601151&amp;Season=2016-17&amp;flag=1&amp;title=Gasol%208'%20Floating%20Jump%20Shot%20(7%20PTS)%20(Leonard%206%20AST)", "Gasol 8' Floating Jump Shot (7 PTS) (Leonard 6 AST)")</f>
        <v>Gasol 8' Floating Jump Shot (7 PTS) (Leonard 6 AST)</v>
      </c>
      <c r="L1913" s="2" t="str">
        <f>HYPERLINK("https://www.nba.com/game/...-vs-...-0021601151/play-by-play?watchFullGame=true", "SAS vs UTA - Q2 00:05.80")</f>
        <v>SAS vs UTA - Q2 00:05.80</v>
      </c>
      <c r="M1913">
        <v>8</v>
      </c>
      <c r="N1913">
        <v>68</v>
      </c>
      <c r="O1913">
        <v>41</v>
      </c>
      <c r="P1913">
        <v>68</v>
      </c>
      <c r="Q1913">
        <v>41</v>
      </c>
      <c r="R1913" t="s">
        <v>0</v>
      </c>
      <c r="S1913" t="s">
        <v>0</v>
      </c>
      <c r="T1913" t="s">
        <v>0</v>
      </c>
    </row>
    <row r="1914" spans="1:20" x14ac:dyDescent="0.25">
      <c r="A1914">
        <v>21601151</v>
      </c>
      <c r="B1914" t="s">
        <v>10</v>
      </c>
      <c r="C1914" t="s">
        <v>9</v>
      </c>
      <c r="D1914">
        <v>80</v>
      </c>
      <c r="E1914">
        <v>66</v>
      </c>
      <c r="F1914">
        <v>14</v>
      </c>
      <c r="G1914">
        <v>3</v>
      </c>
      <c r="H1914" s="1">
        <v>2.8587962962962963E-3</v>
      </c>
      <c r="I1914">
        <v>2016</v>
      </c>
      <c r="J1914" t="s">
        <v>7</v>
      </c>
      <c r="K1914" s="2" t="str">
        <f>HYPERLINK("https://www.nba.com/stats/events?CFID=&amp;CFPARAMS=&amp;GameEventID=303&amp;GameID=0021601151&amp;Season=2016-17&amp;flag=1&amp;title=Forbes%2025'%203PT%20Jump%20Shot%20(8%20PTS)%20(Leonard%207%20AST)", "Forbes 25' 3PT Jump Shot (8 PTS) (Leonard 7 AST)")</f>
        <v>Forbes 25' 3PT Jump Shot (8 PTS) (Leonard 7 AST)</v>
      </c>
      <c r="L1914" s="2" t="str">
        <f>HYPERLINK("https://www.nba.com/game/...-vs-...-0021601151/play-by-play?watchFullGame=true", "SAS vs UTA - Q3 04:07.00")</f>
        <v>SAS vs UTA - Q3 04:07.00</v>
      </c>
      <c r="M1914">
        <v>25</v>
      </c>
      <c r="N1914">
        <v>137</v>
      </c>
      <c r="O1914">
        <v>208</v>
      </c>
      <c r="P1914">
        <v>137</v>
      </c>
      <c r="Q1914">
        <v>208</v>
      </c>
      <c r="R1914" t="s">
        <v>0</v>
      </c>
      <c r="S1914" t="s">
        <v>0</v>
      </c>
      <c r="T1914" t="s">
        <v>0</v>
      </c>
    </row>
    <row r="1915" spans="1:20" x14ac:dyDescent="0.25">
      <c r="A1915">
        <v>21601161</v>
      </c>
      <c r="B1915" t="s">
        <v>10</v>
      </c>
      <c r="C1915" t="s">
        <v>9</v>
      </c>
      <c r="D1915">
        <v>9</v>
      </c>
      <c r="E1915">
        <v>4</v>
      </c>
      <c r="F1915">
        <v>5</v>
      </c>
      <c r="G1915">
        <v>1</v>
      </c>
      <c r="H1915" s="1">
        <v>6.053240740740741E-3</v>
      </c>
      <c r="I1915">
        <v>2016</v>
      </c>
      <c r="J1915" t="s">
        <v>7</v>
      </c>
      <c r="K1915" s="2" t="str">
        <f>HYPERLINK("https://www.nba.com/stats/events?CFID=&amp;CFPARAMS=&amp;GameEventID=28&amp;GameID=0021601161&amp;Season=2016-17&amp;flag=1&amp;title=Parker%2024'%203PT%20Jump%20Shot%20(3%20PTS)%20(Leonard%201%20AST)", "Parker 24' 3PT Jump Shot (3 PTS) (Leonard 1 AST)")</f>
        <v>Parker 24' 3PT Jump Shot (3 PTS) (Leonard 1 AST)</v>
      </c>
      <c r="L1915" s="2" t="str">
        <f>HYPERLINK("https://www.nba.com/game/...-vs-...-0021601161/play-by-play?watchFullGame=true", "SAS vs MEM - Q1 08:43.00")</f>
        <v>SAS vs MEM - Q1 08:43.00</v>
      </c>
      <c r="M1915">
        <v>24</v>
      </c>
      <c r="N1915">
        <v>238</v>
      </c>
      <c r="O1915">
        <v>26</v>
      </c>
      <c r="P1915">
        <v>238</v>
      </c>
      <c r="Q1915">
        <v>26</v>
      </c>
      <c r="R1915" t="s">
        <v>0</v>
      </c>
      <c r="S1915" t="s">
        <v>0</v>
      </c>
      <c r="T1915" t="s">
        <v>0</v>
      </c>
    </row>
    <row r="1916" spans="1:20" x14ac:dyDescent="0.25">
      <c r="A1916">
        <v>21700384</v>
      </c>
      <c r="B1916" t="s">
        <v>10</v>
      </c>
      <c r="C1916" t="s">
        <v>9</v>
      </c>
      <c r="D1916">
        <v>70</v>
      </c>
      <c r="E1916">
        <v>72</v>
      </c>
      <c r="F1916">
        <v>2</v>
      </c>
      <c r="G1916">
        <v>3</v>
      </c>
      <c r="H1916" s="1">
        <v>5.7870370370370367E-3</v>
      </c>
      <c r="I1916">
        <v>2017</v>
      </c>
      <c r="J1916" t="s">
        <v>12</v>
      </c>
      <c r="K1916" s="2" t="str">
        <f>HYPERLINK("https://www.nba.com/stats/events?CFID=&amp;CFPARAMS=&amp;GameEventID=378&amp;GameID=0021700384&amp;Season=2017-18&amp;flag=1&amp;title=McCollum%203PT%20Jump%20Shot%20(16%20PTS)%20(Leonard%202%20AST)", "McCollum 3PT Jump Shot (16 PTS) (Leonard 2 AST)")</f>
        <v>McCollum 3PT Jump Shot (16 PTS) (Leonard 2 AST)</v>
      </c>
      <c r="L1916" s="2" t="str">
        <f>HYPERLINK("https://www.nba.com/game/...-vs-...-0021700384/play-by-play?watchFullGame=true", "POR vs HOU - Q3 08:20.00")</f>
        <v>POR vs HOU - Q3 08:20.00</v>
      </c>
      <c r="M1916">
        <v>0</v>
      </c>
      <c r="N1916">
        <v>-230</v>
      </c>
      <c r="O1916">
        <v>-7</v>
      </c>
      <c r="P1916">
        <v>-230</v>
      </c>
      <c r="Q1916">
        <v>-7</v>
      </c>
      <c r="R1916" t="s">
        <v>0</v>
      </c>
      <c r="S1916" t="s">
        <v>0</v>
      </c>
      <c r="T1916" t="s">
        <v>0</v>
      </c>
    </row>
    <row r="1917" spans="1:20" x14ac:dyDescent="0.25">
      <c r="A1917">
        <v>21700449</v>
      </c>
      <c r="B1917" t="s">
        <v>10</v>
      </c>
      <c r="C1917" t="s">
        <v>9</v>
      </c>
      <c r="D1917">
        <v>11</v>
      </c>
      <c r="E1917">
        <v>4</v>
      </c>
      <c r="F1917">
        <v>7</v>
      </c>
      <c r="G1917">
        <v>1</v>
      </c>
      <c r="H1917" s="1">
        <v>5.0231481481481481E-3</v>
      </c>
      <c r="I1917">
        <v>2017</v>
      </c>
      <c r="J1917" t="s">
        <v>7</v>
      </c>
      <c r="K1917" s="2" t="str">
        <f>HYPERLINK("https://www.nba.com/stats/events?CFID=&amp;CFPARAMS=&amp;GameEventID=50&amp;GameID=0021700449&amp;Season=2017-18&amp;flag=1&amp;title=Parker%203PT%20Jump%20Shot%20(3%20PTS)%20(Leonard%201%20AST)", "Parker 3PT Jump Shot (3 PTS) (Leonard 1 AST)")</f>
        <v>Parker 3PT Jump Shot (3 PTS) (Leonard 1 AST)</v>
      </c>
      <c r="L1917" s="2" t="str">
        <f>HYPERLINK("https://www.nba.com/game/...-vs-...-0021700449/play-by-play?watchFullGame=true", "SAS vs LAC - Q1 07:14.00")</f>
        <v>SAS vs LAC - Q1 07:14.00</v>
      </c>
      <c r="M1917">
        <v>0</v>
      </c>
      <c r="N1917">
        <v>-230</v>
      </c>
      <c r="O1917">
        <v>17</v>
      </c>
      <c r="P1917">
        <v>-230</v>
      </c>
      <c r="Q1917">
        <v>17</v>
      </c>
      <c r="R1917" t="s">
        <v>0</v>
      </c>
      <c r="S1917" t="s">
        <v>0</v>
      </c>
      <c r="T1917" t="s">
        <v>0</v>
      </c>
    </row>
    <row r="1918" spans="1:20" x14ac:dyDescent="0.25">
      <c r="A1918">
        <v>21701045</v>
      </c>
      <c r="B1918" t="s">
        <v>4</v>
      </c>
      <c r="C1918" t="s">
        <v>19</v>
      </c>
      <c r="D1918">
        <v>20</v>
      </c>
      <c r="E1918">
        <v>9</v>
      </c>
      <c r="F1918">
        <v>11</v>
      </c>
      <c r="G1918">
        <v>1</v>
      </c>
      <c r="H1918" s="1">
        <v>3.1597222222222222E-3</v>
      </c>
      <c r="I1918">
        <v>2017</v>
      </c>
      <c r="J1918" t="s">
        <v>12</v>
      </c>
      <c r="K1918" s="2" t="str">
        <f>HYPERLINK("https://www.nba.com/stats/events?CFID=&amp;CFPARAMS=&amp;GameEventID=78&amp;GameID=0021701045&amp;Season=2017-18&amp;flag=1&amp;title=McCollum%2015'%20Pullup%20Jump%20Shot%20(6%20PTS)%20(Leonard%202%20AST)", "McCollum 15' Pullup Jump Shot (6 PTS) (Leonard 2 AST)")</f>
        <v>McCollum 15' Pullup Jump Shot (6 PTS) (Leonard 2 AST)</v>
      </c>
      <c r="L1918" s="2" t="str">
        <f>HYPERLINK("https://www.nba.com/game/...-vs-...-0021701045/play-by-play?watchFullGame=true", "POR vs DET - Q1 04:33.00")</f>
        <v>POR vs DET - Q1 04:33.00</v>
      </c>
      <c r="M1918">
        <v>15</v>
      </c>
      <c r="N1918">
        <v>55</v>
      </c>
      <c r="O1918">
        <v>138</v>
      </c>
      <c r="P1918">
        <v>55</v>
      </c>
      <c r="Q1918">
        <v>138</v>
      </c>
      <c r="R1918" t="s">
        <v>0</v>
      </c>
      <c r="S1918" t="s">
        <v>0</v>
      </c>
      <c r="T1918" t="s">
        <v>0</v>
      </c>
    </row>
    <row r="1919" spans="1:20" x14ac:dyDescent="0.25">
      <c r="A1919">
        <v>21800138</v>
      </c>
      <c r="B1919" t="s">
        <v>4</v>
      </c>
      <c r="C1919" t="s">
        <v>28</v>
      </c>
      <c r="D1919">
        <v>105</v>
      </c>
      <c r="E1919">
        <v>71</v>
      </c>
      <c r="F1919">
        <v>34</v>
      </c>
      <c r="G1919">
        <v>4</v>
      </c>
      <c r="H1919" s="1">
        <v>4.7106481481481478E-3</v>
      </c>
      <c r="I1919">
        <v>2018</v>
      </c>
      <c r="J1919" t="s">
        <v>12</v>
      </c>
      <c r="K1919" s="2" t="str">
        <f>HYPERLINK("https://www.nba.com/stats/events?CFID=&amp;CFPARAMS=&amp;GameEventID=560&amp;GameID=0021800138&amp;Season=2018-19&amp;flag=1&amp;title=Layman%202'%20Driving%20Finger%20Roll%20Layup%20(6%20PTS)%20(Leonard%202%20AST)", "Layman 2' Driving Finger Roll Layup (6 PTS) (Leonard 2 AST)")</f>
        <v>Layman 2' Driving Finger Roll Layup (6 PTS) (Leonard 2 AST)</v>
      </c>
      <c r="L1919" s="2" t="str">
        <f>HYPERLINK("https://www.nba.com/game/...-vs-...-0021800138/play-by-play?watchFullGame=true", "POR vs MIN - Q4 06:47.00")</f>
        <v>POR vs MIN - Q4 06:47.00</v>
      </c>
      <c r="M1919">
        <v>2</v>
      </c>
      <c r="N1919">
        <v>9</v>
      </c>
      <c r="O1919">
        <v>22</v>
      </c>
      <c r="P1919">
        <v>9</v>
      </c>
      <c r="Q1919">
        <v>22</v>
      </c>
      <c r="R1919" t="s">
        <v>0</v>
      </c>
      <c r="S1919" t="s">
        <v>0</v>
      </c>
      <c r="T1919" t="s">
        <v>0</v>
      </c>
    </row>
    <row r="1920" spans="1:20" x14ac:dyDescent="0.25">
      <c r="A1920">
        <v>21800347</v>
      </c>
      <c r="B1920" t="s">
        <v>4</v>
      </c>
      <c r="C1920" t="s">
        <v>20</v>
      </c>
      <c r="D1920">
        <v>47</v>
      </c>
      <c r="E1920">
        <v>54</v>
      </c>
      <c r="F1920">
        <v>7</v>
      </c>
      <c r="G1920">
        <v>2</v>
      </c>
      <c r="H1920" s="1">
        <v>4.3055555555555561E-4</v>
      </c>
      <c r="I1920">
        <v>2018</v>
      </c>
      <c r="J1920" t="s">
        <v>1</v>
      </c>
      <c r="K1920" s="2" t="str">
        <f>HYPERLINK("https://www.nba.com/stats/events?CFID=&amp;CFPARAMS=&amp;GameEventID=325&amp;GameID=0021800347&amp;Season=2018-19&amp;flag=1&amp;title=Valanciunas%201'%20Cutting%20Layup%20Shot%20(6%20PTS)%20(Leonard%202%20AST)", "Valanciunas 1' Cutting Layup Shot (6 PTS) (Leonard 2 AST)")</f>
        <v>Valanciunas 1' Cutting Layup Shot (6 PTS) (Leonard 2 AST)</v>
      </c>
      <c r="L1920" s="2" t="str">
        <f>HYPERLINK("https://www.nba.com/game/...-vs-...-0021800347/play-by-play?watchFullGame=true", "TOR vs DEN - Q2 00:37.20")</f>
        <v>TOR vs DEN - Q2 00:37.20</v>
      </c>
      <c r="M1920">
        <v>1</v>
      </c>
      <c r="N1920">
        <v>4</v>
      </c>
      <c r="O1920">
        <v>10</v>
      </c>
      <c r="P1920">
        <v>4</v>
      </c>
      <c r="Q1920">
        <v>10</v>
      </c>
      <c r="R1920" t="s">
        <v>0</v>
      </c>
      <c r="S1920" t="s">
        <v>0</v>
      </c>
      <c r="T1920" t="s">
        <v>0</v>
      </c>
    </row>
    <row r="1921" spans="1:20" x14ac:dyDescent="0.25">
      <c r="A1921">
        <v>21600150</v>
      </c>
      <c r="B1921" t="s">
        <v>4</v>
      </c>
      <c r="C1921" t="s">
        <v>17</v>
      </c>
      <c r="D1921">
        <v>82</v>
      </c>
      <c r="E1921">
        <v>70</v>
      </c>
      <c r="F1921">
        <v>12</v>
      </c>
      <c r="G1921">
        <v>4</v>
      </c>
      <c r="H1921" s="1">
        <v>3.4027777777777776E-3</v>
      </c>
      <c r="I1921">
        <v>2016</v>
      </c>
      <c r="J1921" t="s">
        <v>7</v>
      </c>
      <c r="K1921" s="2" t="str">
        <f>HYPERLINK("https://www.nba.com/stats/events?CFID=&amp;CFPARAMS=&amp;GameEventID=462&amp;GameID=0021600150&amp;Season=2016-17&amp;flag=1&amp;title=Gasol%208'%20Floating%20Jump%20Shot%20(12%20PTS)%20(Leonard%204%20AST)", "Gasol 8' Floating Jump Shot (12 PTS) (Leonard 4 AST)")</f>
        <v>Gasol 8' Floating Jump Shot (12 PTS) (Leonard 4 AST)</v>
      </c>
      <c r="L1921" s="2" t="str">
        <f>HYPERLINK("https://www.nba.com/game/...-vs-...-0021600150/play-by-play?watchFullGame=true", "SAS vs MIA - Q4 04:54.00")</f>
        <v>SAS vs MIA - Q4 04:54.00</v>
      </c>
      <c r="M1921">
        <v>8</v>
      </c>
      <c r="N1921">
        <v>-56</v>
      </c>
      <c r="O1921">
        <v>56</v>
      </c>
      <c r="P1921">
        <v>-56</v>
      </c>
      <c r="Q1921">
        <v>56</v>
      </c>
      <c r="R1921" t="s">
        <v>0</v>
      </c>
      <c r="S1921" t="s">
        <v>0</v>
      </c>
      <c r="T1921" t="s">
        <v>0</v>
      </c>
    </row>
    <row r="1922" spans="1:20" x14ac:dyDescent="0.25">
      <c r="A1922">
        <v>21600194</v>
      </c>
      <c r="B1922" t="s">
        <v>4</v>
      </c>
      <c r="C1922" t="s">
        <v>9</v>
      </c>
      <c r="D1922">
        <v>36</v>
      </c>
      <c r="E1922">
        <v>32</v>
      </c>
      <c r="F1922">
        <v>4</v>
      </c>
      <c r="G1922">
        <v>2</v>
      </c>
      <c r="H1922" s="1">
        <v>7.5115740740740742E-3</v>
      </c>
      <c r="I1922">
        <v>2016</v>
      </c>
      <c r="J1922" t="s">
        <v>12</v>
      </c>
      <c r="K1922" s="2" t="str">
        <f>HYPERLINK("https://www.nba.com/stats/events?CFID=&amp;CFPARAMS=&amp;GameEventID=128&amp;GameID=0021600194&amp;Season=2016-17&amp;flag=1&amp;title=Turner%2018'%20Jump%20Shot%20(8%20PTS)%20(Leonard%201%20AST)", "Turner 18' Jump Shot (8 PTS) (Leonard 1 AST)")</f>
        <v>Turner 18' Jump Shot (8 PTS) (Leonard 1 AST)</v>
      </c>
      <c r="L1922" s="2" t="str">
        <f>HYPERLINK("https://www.nba.com/game/...-vs-...-0021600194/play-by-play?watchFullGame=true", "POR vs BKN - Q2 10:49.00")</f>
        <v>POR vs BKN - Q2 10:49.00</v>
      </c>
      <c r="M1922">
        <v>18</v>
      </c>
      <c r="N1922">
        <v>-70</v>
      </c>
      <c r="O1922">
        <v>164</v>
      </c>
      <c r="P1922">
        <v>-70</v>
      </c>
      <c r="Q1922">
        <v>164</v>
      </c>
      <c r="R1922" t="s">
        <v>0</v>
      </c>
      <c r="S1922" t="s">
        <v>0</v>
      </c>
      <c r="T1922" t="s">
        <v>0</v>
      </c>
    </row>
    <row r="1923" spans="1:20" x14ac:dyDescent="0.25">
      <c r="A1923">
        <v>21600213</v>
      </c>
      <c r="B1923" t="s">
        <v>4</v>
      </c>
      <c r="C1923" t="s">
        <v>9</v>
      </c>
      <c r="D1923">
        <v>95</v>
      </c>
      <c r="E1923">
        <v>92</v>
      </c>
      <c r="F1923">
        <v>3</v>
      </c>
      <c r="G1923">
        <v>4</v>
      </c>
      <c r="H1923" s="1">
        <v>4.6643518518518518E-3</v>
      </c>
      <c r="I1923">
        <v>2016</v>
      </c>
      <c r="J1923" t="s">
        <v>7</v>
      </c>
      <c r="K1923" s="2" t="str">
        <f>HYPERLINK("https://www.nba.com/stats/events?CFID=&amp;CFPARAMS=&amp;GameEventID=423&amp;GameID=0021600213&amp;Season=2016-17&amp;flag=1&amp;title=Gasol%2016'%20Jump%20Shot%20(9%20PTS)%20(Leonard%203%20AST)", "Gasol 16' Jump Shot (9 PTS) (Leonard 3 AST)")</f>
        <v>Gasol 16' Jump Shot (9 PTS) (Leonard 3 AST)</v>
      </c>
      <c r="L1923" s="2" t="str">
        <f>HYPERLINK("https://www.nba.com/game/...-vs-...-0021600213/play-by-play?watchFullGame=true", "SAS vs CHA - Q4 06:43.00")</f>
        <v>SAS vs CHA - Q4 06:43.00</v>
      </c>
      <c r="M1923">
        <v>16</v>
      </c>
      <c r="N1923">
        <v>159</v>
      </c>
      <c r="O1923">
        <v>26</v>
      </c>
      <c r="P1923">
        <v>159</v>
      </c>
      <c r="Q1923">
        <v>26</v>
      </c>
      <c r="R1923" t="s">
        <v>0</v>
      </c>
      <c r="S1923" t="s">
        <v>0</v>
      </c>
      <c r="T1923" t="s">
        <v>0</v>
      </c>
    </row>
    <row r="1924" spans="1:20" x14ac:dyDescent="0.25">
      <c r="A1924">
        <v>21600298</v>
      </c>
      <c r="B1924" t="s">
        <v>10</v>
      </c>
      <c r="C1924" t="s">
        <v>9</v>
      </c>
      <c r="D1924">
        <v>69</v>
      </c>
      <c r="E1924">
        <v>65</v>
      </c>
      <c r="F1924">
        <v>4</v>
      </c>
      <c r="G1924">
        <v>3</v>
      </c>
      <c r="H1924" s="1">
        <v>1.8287037037037037E-3</v>
      </c>
      <c r="I1924">
        <v>2016</v>
      </c>
      <c r="J1924" t="s">
        <v>12</v>
      </c>
      <c r="K1924" s="2" t="str">
        <f>HYPERLINK("https://www.nba.com/stats/events?CFID=&amp;CFPARAMS=&amp;GameEventID=357&amp;GameID=0021600298&amp;Season=2016-17&amp;flag=1&amp;title=Crabbe%2025'%203PT%20Jump%20Shot%20(11%20PTS)%20(Leonard%201%20AST)", "Crabbe 25' 3PT Jump Shot (11 PTS) (Leonard 1 AST)")</f>
        <v>Crabbe 25' 3PT Jump Shot (11 PTS) (Leonard 1 AST)</v>
      </c>
      <c r="L1924" s="2" t="str">
        <f>HYPERLINK("https://www.nba.com/game/...-vs-...-0021600298/play-by-play?watchFullGame=true", "POR vs MIA - Q3 02:38.00")</f>
        <v>POR vs MIA - Q3 02:38.00</v>
      </c>
      <c r="M1924">
        <v>25</v>
      </c>
      <c r="N1924">
        <v>2</v>
      </c>
      <c r="O1924">
        <v>247</v>
      </c>
      <c r="P1924">
        <v>2</v>
      </c>
      <c r="Q1924">
        <v>247</v>
      </c>
      <c r="R1924" t="s">
        <v>0</v>
      </c>
      <c r="S1924" t="s">
        <v>0</v>
      </c>
      <c r="T1924" t="s">
        <v>0</v>
      </c>
    </row>
    <row r="1925" spans="1:20" x14ac:dyDescent="0.25">
      <c r="A1925">
        <v>21600454</v>
      </c>
      <c r="B1925" t="s">
        <v>4</v>
      </c>
      <c r="C1925" t="s">
        <v>26</v>
      </c>
      <c r="D1925">
        <v>10</v>
      </c>
      <c r="E1925">
        <v>10</v>
      </c>
      <c r="F1925">
        <v>0</v>
      </c>
      <c r="G1925">
        <v>1</v>
      </c>
      <c r="H1925" s="1">
        <v>4.8958333333333336E-3</v>
      </c>
      <c r="I1925">
        <v>2016</v>
      </c>
      <c r="J1925" t="s">
        <v>7</v>
      </c>
      <c r="K1925" s="2" t="str">
        <f>HYPERLINK("https://www.nba.com/stats/events?CFID=&amp;CFPARAMS=&amp;GameEventID=53&amp;GameID=0021600454&amp;Season=2016-17&amp;flag=1&amp;title=Dedmon%202'%20Reverse%20Layup%20(4%20PTS)%20(Leonard%201%20AST)", "Dedmon 2' Reverse Layup (4 PTS) (Leonard 1 AST)")</f>
        <v>Dedmon 2' Reverse Layup (4 PTS) (Leonard 1 AST)</v>
      </c>
      <c r="L1925" s="2" t="str">
        <f>HYPERLINK("https://www.nba.com/game/...-vs-...-0021600454/play-by-play?watchFullGame=true", "SAS vs POR - Q1 07:03.00")</f>
        <v>SAS vs POR - Q1 07:03.00</v>
      </c>
      <c r="M1925">
        <v>2</v>
      </c>
      <c r="N1925">
        <v>-16</v>
      </c>
      <c r="O1925">
        <v>2</v>
      </c>
      <c r="P1925">
        <v>-16</v>
      </c>
      <c r="Q1925">
        <v>2</v>
      </c>
      <c r="R1925" t="s">
        <v>0</v>
      </c>
      <c r="S1925" t="s">
        <v>0</v>
      </c>
      <c r="T1925" t="s">
        <v>0</v>
      </c>
    </row>
    <row r="1926" spans="1:20" x14ac:dyDescent="0.25">
      <c r="A1926">
        <v>21600458</v>
      </c>
      <c r="B1926" t="s">
        <v>4</v>
      </c>
      <c r="C1926" t="s">
        <v>9</v>
      </c>
      <c r="D1926">
        <v>6</v>
      </c>
      <c r="E1926">
        <v>0</v>
      </c>
      <c r="F1926">
        <v>6</v>
      </c>
      <c r="G1926">
        <v>1</v>
      </c>
      <c r="H1926" s="1">
        <v>6.9675925925925929E-3</v>
      </c>
      <c r="I1926">
        <v>2016</v>
      </c>
      <c r="J1926" t="s">
        <v>7</v>
      </c>
      <c r="K1926" s="2" t="str">
        <f>HYPERLINK("https://www.nba.com/stats/events?CFID=&amp;CFPARAMS=&amp;GameEventID=15&amp;GameID=0021600458&amp;Season=2016-17&amp;flag=1&amp;title=Aldridge%2019'%20Jump%20Shot%20(6%20PTS)%20(Leonard%201%20AST)", "Aldridge 19' Jump Shot (6 PTS) (Leonard 1 AST)")</f>
        <v>Aldridge 19' Jump Shot (6 PTS) (Leonard 1 AST)</v>
      </c>
      <c r="L1926" s="2" t="str">
        <f>HYPERLINK("https://www.nba.com/game/...-vs-...-0021600458/play-by-play?watchFullGame=true", "SAS vs CHI - Q1 10:02.00")</f>
        <v>SAS vs CHI - Q1 10:02.00</v>
      </c>
      <c r="M1926">
        <v>19</v>
      </c>
      <c r="N1926">
        <v>-24</v>
      </c>
      <c r="O1926">
        <v>193</v>
      </c>
      <c r="P1926">
        <v>-24</v>
      </c>
      <c r="Q1926">
        <v>193</v>
      </c>
      <c r="R1926" t="s">
        <v>0</v>
      </c>
      <c r="S1926" t="s">
        <v>0</v>
      </c>
      <c r="T1926" t="s">
        <v>0</v>
      </c>
    </row>
    <row r="1927" spans="1:20" x14ac:dyDescent="0.25">
      <c r="A1927">
        <v>21600605</v>
      </c>
      <c r="B1927" t="s">
        <v>10</v>
      </c>
      <c r="C1927" t="s">
        <v>9</v>
      </c>
      <c r="D1927">
        <v>28</v>
      </c>
      <c r="E1927">
        <v>25</v>
      </c>
      <c r="F1927">
        <v>3</v>
      </c>
      <c r="G1927">
        <v>2</v>
      </c>
      <c r="H1927" s="1">
        <v>8.1481481481481474E-3</v>
      </c>
      <c r="I1927">
        <v>2016</v>
      </c>
      <c r="J1927" t="s">
        <v>7</v>
      </c>
      <c r="K1927" s="2" t="str">
        <f>HYPERLINK("https://www.nba.com/stats/events?CFID=&amp;CFPARAMS=&amp;GameEventID=136&amp;GameID=0021600605&amp;Season=2016-17&amp;flag=1&amp;title=Parker%2025'%203PT%20Jump%20Shot%20(8%20PTS)%20(Leonard%202%20AST)", "Parker 25' 3PT Jump Shot (8 PTS) (Leonard 2 AST)")</f>
        <v>Parker 25' 3PT Jump Shot (8 PTS) (Leonard 2 AST)</v>
      </c>
      <c r="L1927" s="2" t="str">
        <f>HYPERLINK("https://www.nba.com/game/...-vs-...-0021600605/play-by-play?watchFullGame=true", "SAS vs PHX - Q2 11:44.00")</f>
        <v>SAS vs PHX - Q2 11:44.00</v>
      </c>
      <c r="M1927">
        <v>25</v>
      </c>
      <c r="N1927">
        <v>246</v>
      </c>
      <c r="O1927">
        <v>-6</v>
      </c>
      <c r="P1927">
        <v>246</v>
      </c>
      <c r="Q1927">
        <v>-6</v>
      </c>
      <c r="R1927" t="s">
        <v>0</v>
      </c>
      <c r="S1927" t="s">
        <v>0</v>
      </c>
      <c r="T1927" t="s">
        <v>0</v>
      </c>
    </row>
    <row r="1928" spans="1:20" x14ac:dyDescent="0.25">
      <c r="A1928">
        <v>21600625</v>
      </c>
      <c r="B1928" t="s">
        <v>4</v>
      </c>
      <c r="C1928" t="s">
        <v>38</v>
      </c>
      <c r="D1928">
        <v>10</v>
      </c>
      <c r="E1928">
        <v>7</v>
      </c>
      <c r="F1928">
        <v>3</v>
      </c>
      <c r="G1928">
        <v>1</v>
      </c>
      <c r="H1928" s="1">
        <v>5.162037037037037E-3</v>
      </c>
      <c r="I1928">
        <v>2016</v>
      </c>
      <c r="J1928" t="s">
        <v>7</v>
      </c>
      <c r="K1928" s="2" t="str">
        <f>HYPERLINK("https://www.nba.com/stats/events?CFID=&amp;CFPARAMS=&amp;GameEventID=32&amp;GameID=0021600625&amp;Season=2016-17&amp;flag=1&amp;title=Aldridge%20%20Dunk%20(4%20PTS)%20(Leonard%201%20AST)", "Aldridge  Dunk (4 PTS) (Leonard 1 AST)")</f>
        <v>Aldridge  Dunk (4 PTS) (Leonard 1 AST)</v>
      </c>
      <c r="L1928" s="2" t="str">
        <f>HYPERLINK("https://www.nba.com/game/...-vs-...-0021600625/play-by-play?watchFullGame=true", "SAS vs MIN - Q1 07:26.00")</f>
        <v>SAS vs MIN - Q1 07:26.00</v>
      </c>
      <c r="M1928">
        <v>0</v>
      </c>
      <c r="N1928">
        <v>0</v>
      </c>
      <c r="O1928">
        <v>1</v>
      </c>
      <c r="P1928">
        <v>0</v>
      </c>
      <c r="Q1928">
        <v>1</v>
      </c>
      <c r="R1928" t="s">
        <v>0</v>
      </c>
      <c r="S1928" t="s">
        <v>0</v>
      </c>
      <c r="T1928" t="s">
        <v>0</v>
      </c>
    </row>
    <row r="1929" spans="1:20" x14ac:dyDescent="0.25">
      <c r="A1929">
        <v>21500342</v>
      </c>
      <c r="B1929" t="s">
        <v>4</v>
      </c>
      <c r="C1929" t="s">
        <v>26</v>
      </c>
      <c r="D1929">
        <v>8</v>
      </c>
      <c r="E1929">
        <v>4</v>
      </c>
      <c r="F1929">
        <v>4</v>
      </c>
      <c r="G1929">
        <v>1</v>
      </c>
      <c r="H1929" s="1">
        <v>6.7129629629629631E-3</v>
      </c>
      <c r="I1929">
        <v>2015</v>
      </c>
      <c r="J1929" t="s">
        <v>7</v>
      </c>
      <c r="K1929" s="2" t="str">
        <f>HYPERLINK("https://www.nba.com/stats/events?CFID=&amp;CFPARAMS=&amp;GameEventID=20&amp;GameID=0021500342&amp;Season=2015-16&amp;flag=1&amp;title=Duncan%202'%20Reverse%20Layup%20(2%20PTS)%20(Leonard%201%20AST)", "Duncan 2' Reverse Layup (2 PTS) (Leonard 1 AST)")</f>
        <v>Duncan 2' Reverse Layup (2 PTS) (Leonard 1 AST)</v>
      </c>
      <c r="L1929" s="2" t="str">
        <f>HYPERLINK("https://www.nba.com/game/...-vs-...-0021500342/play-by-play?watchFullGame=true", "SAS vs LAL - Q1 09:40.00")</f>
        <v>SAS vs LAL - Q1 09:40.00</v>
      </c>
      <c r="M1929">
        <v>2</v>
      </c>
      <c r="N1929">
        <v>-22</v>
      </c>
      <c r="O1929">
        <v>-1</v>
      </c>
      <c r="P1929">
        <v>-22</v>
      </c>
      <c r="Q1929">
        <v>-1</v>
      </c>
      <c r="R1929" t="s">
        <v>0</v>
      </c>
      <c r="S1929" t="s">
        <v>0</v>
      </c>
      <c r="T1929" t="s">
        <v>0</v>
      </c>
    </row>
    <row r="1930" spans="1:20" x14ac:dyDescent="0.25">
      <c r="A1930">
        <v>21500343</v>
      </c>
      <c r="B1930" t="s">
        <v>4</v>
      </c>
      <c r="C1930" t="s">
        <v>9</v>
      </c>
      <c r="D1930">
        <v>82</v>
      </c>
      <c r="E1930">
        <v>82</v>
      </c>
      <c r="F1930">
        <v>0</v>
      </c>
      <c r="G1930">
        <v>4</v>
      </c>
      <c r="H1930" s="1">
        <v>7.3148148148148148E-3</v>
      </c>
      <c r="I1930">
        <v>2015</v>
      </c>
      <c r="J1930" t="s">
        <v>12</v>
      </c>
      <c r="K1930" s="2" t="str">
        <f>HYPERLINK("https://www.nba.com/stats/events?CFID=&amp;CFPARAMS=&amp;GameEventID=394&amp;GameID=0021500343&amp;Season=2015-16&amp;flag=1&amp;title=Crabbe%2019'%20Jump%20Shot%20(16%20PTS)%20(Leonard%202%20AST)", "Crabbe 19' Jump Shot (16 PTS) (Leonard 2 AST)")</f>
        <v>Crabbe 19' Jump Shot (16 PTS) (Leonard 2 AST)</v>
      </c>
      <c r="L1930" s="2" t="str">
        <f>HYPERLINK("https://www.nba.com/game/...-vs-...-0021500343/play-by-play?watchFullGame=true", "POR vs PHX - Q4 10:32.00")</f>
        <v>POR vs PHX - Q4 10:32.00</v>
      </c>
      <c r="M1930">
        <v>19</v>
      </c>
      <c r="N1930">
        <v>-56</v>
      </c>
      <c r="O1930">
        <v>178</v>
      </c>
      <c r="P1930">
        <v>-56</v>
      </c>
      <c r="Q1930">
        <v>178</v>
      </c>
      <c r="R1930" t="s">
        <v>0</v>
      </c>
      <c r="S1930" t="s">
        <v>0</v>
      </c>
      <c r="T1930" t="s">
        <v>0</v>
      </c>
    </row>
    <row r="1931" spans="1:20" x14ac:dyDescent="0.25">
      <c r="A1931">
        <v>21500379</v>
      </c>
      <c r="B1931" t="s">
        <v>4</v>
      </c>
      <c r="C1931" t="s">
        <v>18</v>
      </c>
      <c r="D1931">
        <v>68</v>
      </c>
      <c r="E1931">
        <v>58</v>
      </c>
      <c r="F1931">
        <v>10</v>
      </c>
      <c r="G1931">
        <v>3</v>
      </c>
      <c r="H1931" s="1">
        <v>5.4629629629629629E-3</v>
      </c>
      <c r="I1931">
        <v>2015</v>
      </c>
      <c r="J1931" t="s">
        <v>7</v>
      </c>
      <c r="K1931" s="2" t="str">
        <f>HYPERLINK("https://www.nba.com/stats/events?CFID=&amp;CFPARAMS=&amp;GameEventID=315&amp;GameID=0021500379&amp;Season=2015-16&amp;flag=1&amp;title=West%206'%20Hook%20Shot%20(7%20PTS)%20(Leonard%203%20AST)", "West 6' Hook Shot (7 PTS) (Leonard 3 AST)")</f>
        <v>West 6' Hook Shot (7 PTS) (Leonard 3 AST)</v>
      </c>
      <c r="L1931" s="2" t="str">
        <f>HYPERLINK("https://www.nba.com/game/...-vs-...-0021500379/play-by-play?watchFullGame=true", "SAS vs WAS - Q3 07:52.00")</f>
        <v>SAS vs WAS - Q3 07:52.00</v>
      </c>
      <c r="M1931">
        <v>6</v>
      </c>
      <c r="N1931">
        <v>-29</v>
      </c>
      <c r="O1931">
        <v>56</v>
      </c>
      <c r="P1931">
        <v>-29</v>
      </c>
      <c r="Q1931">
        <v>56</v>
      </c>
      <c r="R1931" t="s">
        <v>0</v>
      </c>
      <c r="S1931" t="s">
        <v>0</v>
      </c>
      <c r="T1931" t="s">
        <v>0</v>
      </c>
    </row>
    <row r="1932" spans="1:20" x14ac:dyDescent="0.25">
      <c r="A1932">
        <v>21500465</v>
      </c>
      <c r="B1932" t="s">
        <v>4</v>
      </c>
      <c r="C1932" t="s">
        <v>40</v>
      </c>
      <c r="D1932">
        <v>98</v>
      </c>
      <c r="E1932">
        <v>90</v>
      </c>
      <c r="F1932">
        <v>8</v>
      </c>
      <c r="G1932">
        <v>4</v>
      </c>
      <c r="H1932" s="1">
        <v>1.3310185185185185E-3</v>
      </c>
      <c r="I1932">
        <v>2015</v>
      </c>
      <c r="J1932" t="s">
        <v>7</v>
      </c>
      <c r="K1932" s="2" t="str">
        <f>HYPERLINK("https://www.nba.com/stats/events?CFID=&amp;CFPARAMS=&amp;GameEventID=474&amp;GameID=0021500465&amp;Season=2015-16&amp;flag=1&amp;title=Parker%202'%20Running%20Reverse%20Layup%20(9%20PTS)%20(Leonard%203%20AST)", "Parker 2' Running Reverse Layup (9 PTS) (Leonard 3 AST)")</f>
        <v>Parker 2' Running Reverse Layup (9 PTS) (Leonard 3 AST)</v>
      </c>
      <c r="L1932" s="2" t="str">
        <f>HYPERLINK("https://www.nba.com/game/...-vs-...-0021500465/play-by-play?watchFullGame=true", "SAS vs MIN - Q4 01:55.00")</f>
        <v>SAS vs MIN - Q4 01:55.00</v>
      </c>
      <c r="M1932">
        <v>2</v>
      </c>
      <c r="N1932">
        <v>17</v>
      </c>
      <c r="O1932">
        <v>16</v>
      </c>
      <c r="P1932">
        <v>17</v>
      </c>
      <c r="Q1932">
        <v>16</v>
      </c>
      <c r="R1932" t="s">
        <v>0</v>
      </c>
      <c r="S1932" t="s">
        <v>0</v>
      </c>
      <c r="T1932" t="s">
        <v>0</v>
      </c>
    </row>
    <row r="1933" spans="1:20" x14ac:dyDescent="0.25">
      <c r="A1933">
        <v>21500481</v>
      </c>
      <c r="B1933" t="s">
        <v>4</v>
      </c>
      <c r="C1933" t="s">
        <v>16</v>
      </c>
      <c r="D1933">
        <v>14</v>
      </c>
      <c r="E1933">
        <v>6</v>
      </c>
      <c r="F1933">
        <v>8</v>
      </c>
      <c r="G1933">
        <v>1</v>
      </c>
      <c r="H1933" s="1">
        <v>3.6111111111111109E-3</v>
      </c>
      <c r="I1933">
        <v>2015</v>
      </c>
      <c r="J1933" t="s">
        <v>7</v>
      </c>
      <c r="K1933" s="2" t="str">
        <f>HYPERLINK("https://www.nba.com/stats/events?CFID=&amp;CFPARAMS=&amp;GameEventID=63&amp;GameID=0021500481&amp;Season=2015-16&amp;flag=1&amp;title=Green%20%20Running%20Dunk%20(2%20PTS)%20(Leonard%201%20AST)", "Green  Running Dunk (2 PTS) (Leonard 1 AST)")</f>
        <v>Green  Running Dunk (2 PTS) (Leonard 1 AST)</v>
      </c>
      <c r="L1933" s="2" t="str">
        <f>HYPERLINK("https://www.nba.com/game/...-vs-...-0021500481/play-by-play?watchFullGame=true", "SAS vs PHX - Q1 05:12.00")</f>
        <v>SAS vs PHX - Q1 05:12.00</v>
      </c>
      <c r="M1933">
        <v>0</v>
      </c>
      <c r="N1933">
        <v>0</v>
      </c>
      <c r="O1933">
        <v>1</v>
      </c>
      <c r="P1933">
        <v>0</v>
      </c>
      <c r="Q1933">
        <v>1</v>
      </c>
      <c r="R1933" t="s">
        <v>0</v>
      </c>
      <c r="S1933" t="s">
        <v>0</v>
      </c>
      <c r="T1933" t="s">
        <v>0</v>
      </c>
    </row>
    <row r="1934" spans="1:20" x14ac:dyDescent="0.25">
      <c r="A1934">
        <v>21500509</v>
      </c>
      <c r="B1934" t="s">
        <v>4</v>
      </c>
      <c r="C1934" t="s">
        <v>23</v>
      </c>
      <c r="D1934">
        <v>14</v>
      </c>
      <c r="E1934">
        <v>14</v>
      </c>
      <c r="F1934">
        <v>0</v>
      </c>
      <c r="G1934">
        <v>1</v>
      </c>
      <c r="H1934" s="1">
        <v>3.1018518518518517E-3</v>
      </c>
      <c r="I1934">
        <v>2015</v>
      </c>
      <c r="J1934" t="s">
        <v>12</v>
      </c>
      <c r="K1934" s="2" t="str">
        <f>HYPERLINK("https://www.nba.com/stats/events?CFID=&amp;CFPARAMS=&amp;GameEventID=74&amp;GameID=0021500509&amp;Season=2015-16&amp;flag=1&amp;title=Harkless%202'%20Driving%20Layup%20(2%20PTS)%20(Leonard%201%20AST)", "Harkless 2' Driving Layup (2 PTS) (Leonard 1 AST)")</f>
        <v>Harkless 2' Driving Layup (2 PTS) (Leonard 1 AST)</v>
      </c>
      <c r="L1934" s="2" t="str">
        <f>HYPERLINK("https://www.nba.com/game/...-vs-...-0021500509/play-by-play?watchFullGame=true", "POR vs DEN - Q1 04:28.00")</f>
        <v>POR vs DEN - Q1 04:28.00</v>
      </c>
      <c r="M1934">
        <v>2</v>
      </c>
      <c r="N1934">
        <v>-16</v>
      </c>
      <c r="O1934">
        <v>11</v>
      </c>
      <c r="P1934">
        <v>-16</v>
      </c>
      <c r="Q1934">
        <v>11</v>
      </c>
      <c r="R1934" t="s">
        <v>0</v>
      </c>
      <c r="S1934" t="s">
        <v>0</v>
      </c>
      <c r="T1934" t="s">
        <v>0</v>
      </c>
    </row>
    <row r="1935" spans="1:20" x14ac:dyDescent="0.25">
      <c r="A1935">
        <v>21500639</v>
      </c>
      <c r="B1935" t="s">
        <v>4</v>
      </c>
      <c r="C1935" t="s">
        <v>19</v>
      </c>
      <c r="D1935">
        <v>17</v>
      </c>
      <c r="E1935">
        <v>13</v>
      </c>
      <c r="F1935">
        <v>4</v>
      </c>
      <c r="G1935">
        <v>1</v>
      </c>
      <c r="H1935" s="1">
        <v>3.8888888888888888E-3</v>
      </c>
      <c r="I1935">
        <v>2015</v>
      </c>
      <c r="J1935" t="s">
        <v>12</v>
      </c>
      <c r="K1935" s="2" t="str">
        <f>HYPERLINK("https://www.nba.com/stats/events?CFID=&amp;CFPARAMS=&amp;GameEventID=57&amp;GameID=0021500639&amp;Season=2015-16&amp;flag=1&amp;title=Lillard%2015'%20Pullup%20Jump%20Shot%20(2%20PTS)%20(Leonard%201%20AST)", "Lillard 15' Pullup Jump Shot (2 PTS) (Leonard 1 AST)")</f>
        <v>Lillard 15' Pullup Jump Shot (2 PTS) (Leonard 1 AST)</v>
      </c>
      <c r="L1935" s="2" t="str">
        <f>HYPERLINK("https://www.nba.com/game/...-vs-...-0021500639/play-by-play?watchFullGame=true", "POR vs ATL - Q1 05:36.00")</f>
        <v>POR vs ATL - Q1 05:36.00</v>
      </c>
      <c r="M1935">
        <v>15</v>
      </c>
      <c r="N1935">
        <v>-150</v>
      </c>
      <c r="O1935">
        <v>8</v>
      </c>
      <c r="P1935">
        <v>-150</v>
      </c>
      <c r="Q1935">
        <v>8</v>
      </c>
      <c r="R1935" t="s">
        <v>0</v>
      </c>
      <c r="S1935" t="s">
        <v>0</v>
      </c>
      <c r="T1935" t="s">
        <v>0</v>
      </c>
    </row>
    <row r="1936" spans="1:20" x14ac:dyDescent="0.25">
      <c r="A1936">
        <v>21500644</v>
      </c>
      <c r="B1936" t="s">
        <v>4</v>
      </c>
      <c r="C1936" t="s">
        <v>5</v>
      </c>
      <c r="D1936">
        <v>11</v>
      </c>
      <c r="E1936">
        <v>4</v>
      </c>
      <c r="F1936">
        <v>7</v>
      </c>
      <c r="G1936">
        <v>1</v>
      </c>
      <c r="H1936" s="1">
        <v>5.6597222222222222E-3</v>
      </c>
      <c r="I1936">
        <v>2015</v>
      </c>
      <c r="J1936" t="s">
        <v>7</v>
      </c>
      <c r="K1936" s="2" t="str">
        <f>HYPERLINK("https://www.nba.com/stats/events?CFID=&amp;CFPARAMS=&amp;GameEventID=36&amp;GameID=0021500644&amp;Season=2015-16&amp;flag=1&amp;title=Green%20%20Layup%20(2%20PTS)%20(Leonard%201%20AST)", "Green  Layup (2 PTS) (Leonard 1 AST)")</f>
        <v>Green  Layup (2 PTS) (Leonard 1 AST)</v>
      </c>
      <c r="L1936" s="2" t="str">
        <f>HYPERLINK("https://www.nba.com/game/...-vs-...-0021500644/play-by-play?watchFullGame=true", "SAS vs PHX - Q1 08:09.00")</f>
        <v>SAS vs PHX - Q1 08:09.00</v>
      </c>
      <c r="M1936">
        <v>0</v>
      </c>
      <c r="N1936">
        <v>2</v>
      </c>
      <c r="O1936">
        <v>0</v>
      </c>
      <c r="P1936">
        <v>2</v>
      </c>
      <c r="Q1936">
        <v>0</v>
      </c>
      <c r="R1936" t="s">
        <v>0</v>
      </c>
      <c r="S1936" t="s">
        <v>0</v>
      </c>
      <c r="T1936" t="s">
        <v>0</v>
      </c>
    </row>
    <row r="1937" spans="1:20" x14ac:dyDescent="0.25">
      <c r="A1937">
        <v>21800041</v>
      </c>
      <c r="B1937" t="s">
        <v>10</v>
      </c>
      <c r="C1937" t="s">
        <v>9</v>
      </c>
      <c r="D1937">
        <v>69</v>
      </c>
      <c r="E1937">
        <v>49</v>
      </c>
      <c r="F1937">
        <v>20</v>
      </c>
      <c r="G1937">
        <v>3</v>
      </c>
      <c r="H1937" s="1">
        <v>6.5740740740740742E-3</v>
      </c>
      <c r="I1937">
        <v>2018</v>
      </c>
      <c r="J1937" t="s">
        <v>1</v>
      </c>
      <c r="K1937" s="2" t="str">
        <f>HYPERLINK("https://www.nba.com/stats/events?CFID=&amp;CFPARAMS=&amp;GameEventID=353&amp;GameID=0021800041&amp;Season=2018-19&amp;flag=1&amp;title=Green%2024'%203PT%20Jump%20Shot%20(14%20PTS)%20(Leonard%202%20AST)", "Green 24' 3PT Jump Shot (14 PTS) (Leonard 2 AST)")</f>
        <v>Green 24' 3PT Jump Shot (14 PTS) (Leonard 2 AST)</v>
      </c>
      <c r="L1937" s="2" t="str">
        <f>HYPERLINK("https://www.nba.com/game/...-vs-...-0021800041/play-by-play?watchFullGame=true", "TOR vs CHA - Q3 09:28.00")</f>
        <v>TOR vs CHA - Q3 09:28.00</v>
      </c>
      <c r="M1937">
        <v>24</v>
      </c>
      <c r="N1937">
        <v>-237</v>
      </c>
      <c r="O1937">
        <v>15</v>
      </c>
      <c r="P1937">
        <v>-237</v>
      </c>
      <c r="Q1937">
        <v>15</v>
      </c>
      <c r="R1937" t="s">
        <v>0</v>
      </c>
      <c r="S1937" t="s">
        <v>0</v>
      </c>
      <c r="T1937" t="s">
        <v>0</v>
      </c>
    </row>
    <row r="1938" spans="1:20" x14ac:dyDescent="0.25">
      <c r="A1938">
        <v>21800251</v>
      </c>
      <c r="B1938" t="s">
        <v>10</v>
      </c>
      <c r="C1938" t="s">
        <v>9</v>
      </c>
      <c r="D1938">
        <v>99</v>
      </c>
      <c r="E1938">
        <v>91</v>
      </c>
      <c r="F1938">
        <v>8</v>
      </c>
      <c r="G1938">
        <v>4</v>
      </c>
      <c r="H1938" s="1">
        <v>6.4930555555555557E-3</v>
      </c>
      <c r="I1938">
        <v>2018</v>
      </c>
      <c r="J1938" t="s">
        <v>12</v>
      </c>
      <c r="K1938" s="2" t="str">
        <f>HYPERLINK("https://www.nba.com/stats/events?CFID=&amp;CFPARAMS=&amp;GameEventID=478&amp;GameID=0021800251&amp;Season=2018-19&amp;flag=1&amp;title=McCollum%2026'%203PT%20Jump%20Shot%20(23%20PTS)%20(Leonard%202%20AST)", "McCollum 26' 3PT Jump Shot (23 PTS) (Leonard 2 AST)")</f>
        <v>McCollum 26' 3PT Jump Shot (23 PTS) (Leonard 2 AST)</v>
      </c>
      <c r="L1938" s="2" t="str">
        <f>HYPERLINK("https://www.nba.com/game/...-vs-...-0021800251/play-by-play?watchFullGame=true", "POR vs NYK - Q4 09:21.00")</f>
        <v>POR vs NYK - Q4 09:21.00</v>
      </c>
      <c r="M1938">
        <v>26</v>
      </c>
      <c r="N1938">
        <v>-124</v>
      </c>
      <c r="O1938">
        <v>226</v>
      </c>
      <c r="P1938">
        <v>-124</v>
      </c>
      <c r="Q1938">
        <v>226</v>
      </c>
      <c r="R1938" t="s">
        <v>0</v>
      </c>
      <c r="S1938" t="s">
        <v>0</v>
      </c>
      <c r="T1938" t="s">
        <v>0</v>
      </c>
    </row>
    <row r="1939" spans="1:20" x14ac:dyDescent="0.25">
      <c r="A1939">
        <v>21800277</v>
      </c>
      <c r="B1939" t="s">
        <v>4</v>
      </c>
      <c r="C1939" t="s">
        <v>29</v>
      </c>
      <c r="D1939">
        <v>82</v>
      </c>
      <c r="E1939">
        <v>98</v>
      </c>
      <c r="F1939">
        <v>16</v>
      </c>
      <c r="G1939">
        <v>4</v>
      </c>
      <c r="H1939" s="1">
        <v>6.1342592592592594E-3</v>
      </c>
      <c r="I1939">
        <v>2018</v>
      </c>
      <c r="J1939" t="s">
        <v>12</v>
      </c>
      <c r="K1939" s="2" t="str">
        <f>HYPERLINK("https://www.nba.com/stats/events?CFID=&amp;CFPARAMS=&amp;GameEventID=517&amp;GameID=0021800277&amp;Season=2018-19&amp;flag=1&amp;title=McCollum%2018'%20Driving%20Floating%20Jump%20Shot%20(16%20PTS)%20(Leonard%201%20AST)", "McCollum 18' Driving Floating Jump Shot (16 PTS) (Leonard 1 AST)")</f>
        <v>McCollum 18' Driving Floating Jump Shot (16 PTS) (Leonard 1 AST)</v>
      </c>
      <c r="L1939" s="2" t="str">
        <f>HYPERLINK("https://www.nba.com/game/...-vs-...-0021800277/play-by-play?watchFullGame=true", "POR vs GSW - Q4 08:50.00")</f>
        <v>POR vs GSW - Q4 08:50.00</v>
      </c>
      <c r="M1939">
        <v>18</v>
      </c>
      <c r="N1939">
        <v>82</v>
      </c>
      <c r="O1939">
        <v>162</v>
      </c>
      <c r="P1939">
        <v>82</v>
      </c>
      <c r="Q1939">
        <v>162</v>
      </c>
      <c r="R1939" t="s">
        <v>0</v>
      </c>
      <c r="S1939" t="s">
        <v>0</v>
      </c>
      <c r="T1939" t="s">
        <v>0</v>
      </c>
    </row>
    <row r="1940" spans="1:20" x14ac:dyDescent="0.25">
      <c r="A1940">
        <v>21800332</v>
      </c>
      <c r="B1940" t="s">
        <v>4</v>
      </c>
      <c r="C1940" t="s">
        <v>16</v>
      </c>
      <c r="D1940">
        <v>14</v>
      </c>
      <c r="E1940">
        <v>14</v>
      </c>
      <c r="F1940">
        <v>0</v>
      </c>
      <c r="G1940">
        <v>1</v>
      </c>
      <c r="H1940" s="1">
        <v>2.9976851851851853E-3</v>
      </c>
      <c r="I1940">
        <v>2018</v>
      </c>
      <c r="J1940" t="s">
        <v>1</v>
      </c>
      <c r="K1940" s="2" t="str">
        <f>HYPERLINK("https://www.nba.com/stats/events?CFID=&amp;CFPARAMS=&amp;GameEventID=77&amp;GameID=0021800332&amp;Season=2018-19&amp;flag=1&amp;title=Ibaka%202'%20Running%20Dunk%20(2%20PTS)%20(Leonard%201%20AST)", "Ibaka 2' Running Dunk (2 PTS) (Leonard 1 AST)")</f>
        <v>Ibaka 2' Running Dunk (2 PTS) (Leonard 1 AST)</v>
      </c>
      <c r="L1940" s="2" t="str">
        <f>HYPERLINK("https://www.nba.com/game/...-vs-...-0021800332/play-by-play?watchFullGame=true", "TOR vs CLE - Q1 04:19.00")</f>
        <v>TOR vs CLE - Q1 04:19.00</v>
      </c>
      <c r="M1940">
        <v>2</v>
      </c>
      <c r="N1940">
        <v>1</v>
      </c>
      <c r="O1940">
        <v>19</v>
      </c>
      <c r="P1940">
        <v>1</v>
      </c>
      <c r="Q1940">
        <v>19</v>
      </c>
      <c r="R1940" t="s">
        <v>0</v>
      </c>
      <c r="S1940" t="s">
        <v>0</v>
      </c>
      <c r="T1940" t="s">
        <v>0</v>
      </c>
    </row>
    <row r="1941" spans="1:20" x14ac:dyDescent="0.25">
      <c r="A1941">
        <v>21800388</v>
      </c>
      <c r="B1941" t="s">
        <v>10</v>
      </c>
      <c r="C1941" t="s">
        <v>9</v>
      </c>
      <c r="D1941">
        <v>55</v>
      </c>
      <c r="E1941">
        <v>55</v>
      </c>
      <c r="F1941">
        <v>0</v>
      </c>
      <c r="G1941">
        <v>3</v>
      </c>
      <c r="H1941" s="1">
        <v>7.3032407407407404E-3</v>
      </c>
      <c r="I1941">
        <v>2018</v>
      </c>
      <c r="J1941" t="s">
        <v>1</v>
      </c>
      <c r="K1941" s="2" t="str">
        <f>HYPERLINK("https://www.nba.com/stats/events?CFID=&amp;CFPARAMS=&amp;GameEventID=350&amp;GameID=0021800388&amp;Season=2018-19&amp;flag=1&amp;title=Ibaka%203PT%20Jump%20Shot%20(14%20PTS)%20(Leonard%203%20AST)", "Ibaka 3PT Jump Shot (14 PTS) (Leonard 3 AST)")</f>
        <v>Ibaka 3PT Jump Shot (14 PTS) (Leonard 3 AST)</v>
      </c>
      <c r="L1941" s="2" t="str">
        <f>HYPERLINK("https://www.nba.com/game/...-vs-...-0021800388/play-by-play?watchFullGame=true", "TOR vs MIL - Q3 10:31.00")</f>
        <v>TOR vs MIL - Q3 10:31.00</v>
      </c>
      <c r="M1941">
        <v>0</v>
      </c>
      <c r="N1941">
        <v>-226</v>
      </c>
      <c r="O1941">
        <v>25</v>
      </c>
      <c r="P1941">
        <v>-226</v>
      </c>
      <c r="Q1941">
        <v>25</v>
      </c>
      <c r="R1941" t="s">
        <v>0</v>
      </c>
      <c r="S1941" t="s">
        <v>0</v>
      </c>
      <c r="T1941" t="s">
        <v>0</v>
      </c>
    </row>
    <row r="1942" spans="1:20" x14ac:dyDescent="0.25">
      <c r="A1942">
        <v>21800388</v>
      </c>
      <c r="B1942" t="s">
        <v>10</v>
      </c>
      <c r="C1942" t="s">
        <v>9</v>
      </c>
      <c r="D1942">
        <v>87</v>
      </c>
      <c r="E1942">
        <v>90</v>
      </c>
      <c r="F1942">
        <v>3</v>
      </c>
      <c r="G1942">
        <v>4</v>
      </c>
      <c r="H1942" s="1">
        <v>3.6921296296296298E-3</v>
      </c>
      <c r="I1942">
        <v>2018</v>
      </c>
      <c r="J1942" t="s">
        <v>1</v>
      </c>
      <c r="K1942" s="2" t="str">
        <f>HYPERLINK("https://www.nba.com/stats/events?CFID=&amp;CFPARAMS=&amp;GameEventID=602&amp;GameID=0021800388&amp;Season=2018-19&amp;flag=1&amp;title=Ibaka%2026'%203PT%20Jump%20Shot%20(22%20PTS)%20(Leonard%204%20AST)", "Ibaka 26' 3PT Jump Shot (22 PTS) (Leonard 4 AST)")</f>
        <v>Ibaka 26' 3PT Jump Shot (22 PTS) (Leonard 4 AST)</v>
      </c>
      <c r="L1942" s="2" t="str">
        <f>HYPERLINK("https://www.nba.com/game/...-vs-...-0021800388/play-by-play?watchFullGame=true", "TOR vs MIL - Q4 05:19.00")</f>
        <v>TOR vs MIL - Q4 05:19.00</v>
      </c>
      <c r="M1942">
        <v>26</v>
      </c>
      <c r="N1942">
        <v>134</v>
      </c>
      <c r="O1942">
        <v>222</v>
      </c>
      <c r="P1942">
        <v>134</v>
      </c>
      <c r="Q1942">
        <v>222</v>
      </c>
      <c r="R1942" t="s">
        <v>0</v>
      </c>
      <c r="S1942" t="s">
        <v>0</v>
      </c>
      <c r="T1942" t="s">
        <v>0</v>
      </c>
    </row>
    <row r="1943" spans="1:20" x14ac:dyDescent="0.25">
      <c r="A1943">
        <v>21800476</v>
      </c>
      <c r="B1943" t="s">
        <v>4</v>
      </c>
      <c r="C1943" t="s">
        <v>19</v>
      </c>
      <c r="D1943">
        <v>24</v>
      </c>
      <c r="E1943">
        <v>25</v>
      </c>
      <c r="F1943">
        <v>1</v>
      </c>
      <c r="G1943">
        <v>1</v>
      </c>
      <c r="H1943" s="1">
        <v>7.291666666666667E-4</v>
      </c>
      <c r="I1943">
        <v>2018</v>
      </c>
      <c r="J1943" t="s">
        <v>12</v>
      </c>
      <c r="K1943" s="2" t="str">
        <f>HYPERLINK("https://www.nba.com/stats/events?CFID=&amp;CFPARAMS=&amp;GameEventID=142&amp;GameID=0021800476&amp;Season=2018-19&amp;flag=1&amp;title=Turner%2017'%20Pullup%20Jump%20Shot%20(6%20PTS)%20(Leonard%201%20AST)", "Turner 17' Pullup Jump Shot (6 PTS) (Leonard 1 AST)")</f>
        <v>Turner 17' Pullup Jump Shot (6 PTS) (Leonard 1 AST)</v>
      </c>
      <c r="L1943" s="2" t="str">
        <f>HYPERLINK("https://www.nba.com/game/...-vs-...-0021800476/play-by-play?watchFullGame=true", "POR vs UTA - Q1 01:03.00")</f>
        <v>POR vs UTA - Q1 01:03.00</v>
      </c>
      <c r="M1943">
        <v>17</v>
      </c>
      <c r="N1943">
        <v>87</v>
      </c>
      <c r="O1943">
        <v>151</v>
      </c>
      <c r="P1943">
        <v>87</v>
      </c>
      <c r="Q1943">
        <v>151</v>
      </c>
      <c r="R1943" t="s">
        <v>0</v>
      </c>
      <c r="S1943" t="s">
        <v>0</v>
      </c>
      <c r="T1943" t="s">
        <v>0</v>
      </c>
    </row>
    <row r="1944" spans="1:20" x14ac:dyDescent="0.25">
      <c r="A1944">
        <v>21800624</v>
      </c>
      <c r="B1944" t="s">
        <v>4</v>
      </c>
      <c r="C1944" t="s">
        <v>25</v>
      </c>
      <c r="D1944">
        <v>88</v>
      </c>
      <c r="E1944">
        <v>72</v>
      </c>
      <c r="F1944">
        <v>16</v>
      </c>
      <c r="G1944">
        <v>3</v>
      </c>
      <c r="H1944" s="1">
        <v>2.3032407407407407E-3</v>
      </c>
      <c r="I1944">
        <v>2018</v>
      </c>
      <c r="J1944" t="s">
        <v>1</v>
      </c>
      <c r="K1944" s="2" t="str">
        <f>HYPERLINK("https://www.nba.com/stats/events?CFID=&amp;CFPARAMS=&amp;GameEventID=447&amp;GameID=0021800624&amp;Season=2018-19&amp;flag=1&amp;title=Siakam%202'%20Running%20Finger%20Roll%20Layup%20(15%20PTS)%20(Leonard%204%20AST)", "Siakam 2' Running Finger Roll Layup (15 PTS) (Leonard 4 AST)")</f>
        <v>Siakam 2' Running Finger Roll Layup (15 PTS) (Leonard 4 AST)</v>
      </c>
      <c r="L1944" s="2" t="str">
        <f>HYPERLINK("https://www.nba.com/game/...-vs-...-0021800624/play-by-play?watchFullGame=true", "TOR vs BKN - Q3 03:19.00")</f>
        <v>TOR vs BKN - Q3 03:19.00</v>
      </c>
      <c r="M1944">
        <v>2</v>
      </c>
      <c r="N1944">
        <v>8</v>
      </c>
      <c r="O1944">
        <v>15</v>
      </c>
      <c r="P1944">
        <v>8</v>
      </c>
      <c r="Q1944">
        <v>15</v>
      </c>
      <c r="R1944" t="s">
        <v>0</v>
      </c>
      <c r="S1944" t="s">
        <v>0</v>
      </c>
      <c r="T1944" t="s">
        <v>0</v>
      </c>
    </row>
    <row r="1945" spans="1:20" x14ac:dyDescent="0.25">
      <c r="A1945">
        <v>21800459</v>
      </c>
      <c r="B1945" t="s">
        <v>4</v>
      </c>
      <c r="C1945" t="s">
        <v>20</v>
      </c>
      <c r="D1945">
        <v>15</v>
      </c>
      <c r="E1945">
        <v>20</v>
      </c>
      <c r="F1945">
        <v>5</v>
      </c>
      <c r="G1945">
        <v>1</v>
      </c>
      <c r="H1945" s="1">
        <v>2.5347222222222221E-3</v>
      </c>
      <c r="I1945">
        <v>2018</v>
      </c>
      <c r="J1945" t="s">
        <v>1</v>
      </c>
      <c r="K1945" s="2" t="str">
        <f>HYPERLINK("https://www.nba.com/stats/events?CFID=&amp;CFPARAMS=&amp;GameEventID=114&amp;GameID=0021800459&amp;Season=2018-19&amp;flag=1&amp;title=Anunoby%201'%20Cutting%20Layup%20Shot%20(2%20PTS)%20(Leonard%204%20AST)", "Anunoby 1' Cutting Layup Shot (2 PTS) (Leonard 4 AST)")</f>
        <v>Anunoby 1' Cutting Layup Shot (2 PTS) (Leonard 4 AST)</v>
      </c>
      <c r="L1945" s="2" t="str">
        <f>HYPERLINK("https://www.nba.com/game/...-vs-...-0021800459/play-by-play?watchFullGame=true", "TOR vs IND - Q1 03:39.00")</f>
        <v>TOR vs IND - Q1 03:39.00</v>
      </c>
      <c r="M1945">
        <v>1</v>
      </c>
      <c r="N1945">
        <v>6</v>
      </c>
      <c r="O1945">
        <v>13</v>
      </c>
      <c r="P1945">
        <v>6</v>
      </c>
      <c r="Q1945">
        <v>13</v>
      </c>
      <c r="R1945" t="s">
        <v>0</v>
      </c>
      <c r="S1945" t="s">
        <v>0</v>
      </c>
      <c r="T1945" t="s">
        <v>0</v>
      </c>
    </row>
    <row r="1946" spans="1:20" x14ac:dyDescent="0.25">
      <c r="A1946">
        <v>21800549</v>
      </c>
      <c r="B1946" t="s">
        <v>4</v>
      </c>
      <c r="C1946" t="s">
        <v>25</v>
      </c>
      <c r="D1946">
        <v>108</v>
      </c>
      <c r="E1946">
        <v>99</v>
      </c>
      <c r="F1946">
        <v>9</v>
      </c>
      <c r="G1946">
        <v>4</v>
      </c>
      <c r="H1946" s="1">
        <v>3.2870370370370371E-3</v>
      </c>
      <c r="I1946">
        <v>2018</v>
      </c>
      <c r="J1946" t="s">
        <v>1</v>
      </c>
      <c r="K1946" s="2" t="str">
        <f>HYPERLINK("https://www.nba.com/stats/events?CFID=&amp;CFPARAMS=&amp;GameEventID=574&amp;GameID=0021800549&amp;Season=2018-19&amp;flag=1&amp;title=Siakam%201'%20Running%20Finger%20Roll%20Layup%20(25%20PTS)%20(Leonard%201%20AST)", "Siakam 1' Running Finger Roll Layup (25 PTS) (Leonard 1 AST)")</f>
        <v>Siakam 1' Running Finger Roll Layup (25 PTS) (Leonard 1 AST)</v>
      </c>
      <c r="L1946" s="2" t="str">
        <f>HYPERLINK("https://www.nba.com/game/...-vs-...-0021800549/play-by-play?watchFullGame=true", "TOR vs UTA - Q4 04:44.00")</f>
        <v>TOR vs UTA - Q4 04:44.00</v>
      </c>
      <c r="M1946">
        <v>1</v>
      </c>
      <c r="N1946">
        <v>-12</v>
      </c>
      <c r="O1946">
        <v>8</v>
      </c>
      <c r="P1946">
        <v>-12</v>
      </c>
      <c r="Q1946">
        <v>8</v>
      </c>
      <c r="R1946" t="s">
        <v>0</v>
      </c>
      <c r="S1946" t="s">
        <v>0</v>
      </c>
      <c r="T1946" t="s">
        <v>0</v>
      </c>
    </row>
    <row r="1947" spans="1:20" x14ac:dyDescent="0.25">
      <c r="A1947">
        <v>21800580</v>
      </c>
      <c r="B1947" t="s">
        <v>4</v>
      </c>
      <c r="C1947" t="s">
        <v>23</v>
      </c>
      <c r="D1947">
        <v>36</v>
      </c>
      <c r="E1947">
        <v>41</v>
      </c>
      <c r="F1947">
        <v>5</v>
      </c>
      <c r="G1947">
        <v>2</v>
      </c>
      <c r="H1947" s="1">
        <v>4.409722222222222E-3</v>
      </c>
      <c r="I1947">
        <v>2018</v>
      </c>
      <c r="J1947" t="s">
        <v>1</v>
      </c>
      <c r="K1947" s="2" t="str">
        <f>HYPERLINK("https://www.nba.com/stats/events?CFID=&amp;CFPARAMS=&amp;GameEventID=229&amp;GameID=0021800580&amp;Season=2018-19&amp;flag=1&amp;title=Siakam%201'%20Driving%20Layup%20(7%20PTS)%20(Leonard%202%20AST)", "Siakam 1' Driving Layup (7 PTS) (Leonard 2 AST)")</f>
        <v>Siakam 1' Driving Layup (7 PTS) (Leonard 2 AST)</v>
      </c>
      <c r="L1947" s="2" t="str">
        <f>HYPERLINK("https://www.nba.com/game/...-vs-...-0021800580/play-by-play?watchFullGame=true", "TOR vs MIL - Q2 06:21.00")</f>
        <v>TOR vs MIL - Q2 06:21.00</v>
      </c>
      <c r="M1947">
        <v>1</v>
      </c>
      <c r="N1947">
        <v>-6</v>
      </c>
      <c r="O1947">
        <v>13</v>
      </c>
      <c r="P1947">
        <v>-6</v>
      </c>
      <c r="Q1947">
        <v>13</v>
      </c>
      <c r="R1947" t="s">
        <v>0</v>
      </c>
      <c r="S1947" t="s">
        <v>0</v>
      </c>
      <c r="T1947" t="s">
        <v>0</v>
      </c>
    </row>
    <row r="1948" spans="1:20" x14ac:dyDescent="0.25">
      <c r="A1948">
        <v>21800828</v>
      </c>
      <c r="B1948" t="s">
        <v>10</v>
      </c>
      <c r="C1948" t="s">
        <v>9</v>
      </c>
      <c r="D1948">
        <v>8</v>
      </c>
      <c r="E1948">
        <v>17</v>
      </c>
      <c r="F1948">
        <v>9</v>
      </c>
      <c r="G1948">
        <v>1</v>
      </c>
      <c r="H1948" s="1">
        <v>4.178240740740741E-3</v>
      </c>
      <c r="I1948">
        <v>2018</v>
      </c>
      <c r="J1948" t="s">
        <v>1</v>
      </c>
      <c r="K1948" s="2" t="str">
        <f>HYPERLINK("https://www.nba.com/stats/events?CFID=&amp;CFPARAMS=&amp;GameEventID=83&amp;GameID=0021800828&amp;Season=2018-19&amp;flag=1&amp;title=Green%203PT%20Jump%20Shot%20(3%20PTS)%20(Leonard%201%20AST)", "Green 3PT Jump Shot (3 PTS) (Leonard 1 AST)")</f>
        <v>Green 3PT Jump Shot (3 PTS) (Leonard 1 AST)</v>
      </c>
      <c r="L1948" s="2" t="str">
        <f>HYPERLINK("https://www.nba.com/game/...-vs-...-0021800828/play-by-play?watchFullGame=true", "TOR vs NYK - Q1 06:01.00")</f>
        <v>TOR vs NYK - Q1 06:01.00</v>
      </c>
      <c r="M1948">
        <v>0</v>
      </c>
      <c r="N1948">
        <v>-230</v>
      </c>
      <c r="O1948">
        <v>-27</v>
      </c>
      <c r="P1948">
        <v>-230</v>
      </c>
      <c r="Q1948">
        <v>-27</v>
      </c>
      <c r="R1948" t="s">
        <v>0</v>
      </c>
      <c r="S1948" t="s">
        <v>0</v>
      </c>
      <c r="T1948" t="s">
        <v>0</v>
      </c>
    </row>
    <row r="1949" spans="1:20" x14ac:dyDescent="0.25">
      <c r="A1949">
        <v>21800983</v>
      </c>
      <c r="B1949" t="s">
        <v>10</v>
      </c>
      <c r="C1949" t="s">
        <v>9</v>
      </c>
      <c r="D1949">
        <v>48</v>
      </c>
      <c r="E1949">
        <v>45</v>
      </c>
      <c r="F1949">
        <v>3</v>
      </c>
      <c r="G1949">
        <v>2</v>
      </c>
      <c r="H1949" s="1">
        <v>3.8888888888888888E-3</v>
      </c>
      <c r="I1949">
        <v>2018</v>
      </c>
      <c r="J1949" t="s">
        <v>1</v>
      </c>
      <c r="K1949" s="2" t="str">
        <f>HYPERLINK("https://www.nba.com/stats/events?CFID=&amp;CFPARAMS=&amp;GameEventID=250&amp;GameID=0021800983&amp;Season=2018-19&amp;flag=1&amp;title=Lowry%2026'%203PT%20Jump%20Shot%20(3%20PTS)%20(Leonard%202%20AST)", "Lowry 26' 3PT Jump Shot (3 PTS) (Leonard 2 AST)")</f>
        <v>Lowry 26' 3PT Jump Shot (3 PTS) (Leonard 2 AST)</v>
      </c>
      <c r="L1949" s="2" t="str">
        <f>HYPERLINK("https://www.nba.com/game/...-vs-...-0021800983/play-by-play?watchFullGame=true", "TOR vs NOP - Q2 05:36.00")</f>
        <v>TOR vs NOP - Q2 05:36.00</v>
      </c>
      <c r="M1949">
        <v>26</v>
      </c>
      <c r="N1949">
        <v>101</v>
      </c>
      <c r="O1949">
        <v>239</v>
      </c>
      <c r="P1949">
        <v>101</v>
      </c>
      <c r="Q1949">
        <v>239</v>
      </c>
      <c r="R1949" t="s">
        <v>0</v>
      </c>
      <c r="S1949" t="s">
        <v>0</v>
      </c>
      <c r="T1949" t="s">
        <v>0</v>
      </c>
    </row>
    <row r="1950" spans="1:20" x14ac:dyDescent="0.25">
      <c r="A1950">
        <v>21801139</v>
      </c>
      <c r="B1950" t="s">
        <v>10</v>
      </c>
      <c r="C1950" t="s">
        <v>9</v>
      </c>
      <c r="D1950">
        <v>85</v>
      </c>
      <c r="E1950">
        <v>93</v>
      </c>
      <c r="F1950">
        <v>8</v>
      </c>
      <c r="G1950">
        <v>4</v>
      </c>
      <c r="H1950" s="1">
        <v>6.4236111111111113E-4</v>
      </c>
      <c r="I1950">
        <v>2018</v>
      </c>
      <c r="J1950" t="s">
        <v>12</v>
      </c>
      <c r="K1950" s="2" t="str">
        <f>HYPERLINK("https://www.nba.com/stats/events?CFID=&amp;CFPARAMS=&amp;GameEventID=628&amp;GameID=0021801139&amp;Season=2018-19&amp;flag=1&amp;title=Lillard%2025'%203PT%20Jump%20Shot%20(20%20PTS)%20(Leonard%203%20AST)", "Lillard 25' 3PT Jump Shot (20 PTS) (Leonard 3 AST)")</f>
        <v>Lillard 25' 3PT Jump Shot (20 PTS) (Leonard 3 AST)</v>
      </c>
      <c r="L1950" s="2" t="str">
        <f>HYPERLINK("https://www.nba.com/game/...-vs-...-0021801139/play-by-play?watchFullGame=true", "POR vs DET - Q4 00:55.50")</f>
        <v>POR vs DET - Q4 00:55.50</v>
      </c>
      <c r="M1950">
        <v>25</v>
      </c>
      <c r="N1950">
        <v>-154</v>
      </c>
      <c r="O1950">
        <v>200</v>
      </c>
      <c r="P1950">
        <v>-154</v>
      </c>
      <c r="Q1950">
        <v>200</v>
      </c>
      <c r="R1950" t="s">
        <v>0</v>
      </c>
      <c r="S1950" t="s">
        <v>0</v>
      </c>
      <c r="T1950" t="s">
        <v>0</v>
      </c>
    </row>
    <row r="1951" spans="1:20" x14ac:dyDescent="0.25">
      <c r="A1951">
        <v>21800041</v>
      </c>
      <c r="B1951" t="s">
        <v>10</v>
      </c>
      <c r="C1951" t="s">
        <v>3</v>
      </c>
      <c r="D1951">
        <v>55</v>
      </c>
      <c r="E1951">
        <v>42</v>
      </c>
      <c r="F1951">
        <v>13</v>
      </c>
      <c r="G1951">
        <v>2</v>
      </c>
      <c r="H1951" s="1">
        <v>2.3726851851851851E-3</v>
      </c>
      <c r="I1951">
        <v>2018</v>
      </c>
      <c r="J1951" t="s">
        <v>1</v>
      </c>
      <c r="K1951" s="2" t="str">
        <f>HYPERLINK("https://www.nba.com/stats/events?CFID=&amp;CFPARAMS=&amp;GameEventID=278&amp;GameID=0021800041&amp;Season=2018-19&amp;flag=1&amp;title=Green%2026'%203PT%20Running%20Jump%20Shot%20(8%20PTS)%20(Leonard%201%20AST)", "Green 26' 3PT Running Jump Shot (8 PTS) (Leonard 1 AST)")</f>
        <v>Green 26' 3PT Running Jump Shot (8 PTS) (Leonard 1 AST)</v>
      </c>
      <c r="L1951" s="2" t="str">
        <f>HYPERLINK("https://www.nba.com/game/...-vs-...-0021800041/play-by-play?watchFullGame=true", "TOR vs CHA - Q2 03:25.00")</f>
        <v>TOR vs CHA - Q2 03:25.00</v>
      </c>
      <c r="M1951">
        <v>26</v>
      </c>
      <c r="N1951">
        <v>-163</v>
      </c>
      <c r="O1951">
        <v>197</v>
      </c>
      <c r="P1951">
        <v>-163</v>
      </c>
      <c r="Q1951">
        <v>197</v>
      </c>
      <c r="R1951" t="s">
        <v>0</v>
      </c>
      <c r="S1951" t="s">
        <v>0</v>
      </c>
      <c r="T1951" t="s">
        <v>0</v>
      </c>
    </row>
    <row r="1952" spans="1:20" x14ac:dyDescent="0.25">
      <c r="A1952">
        <v>21800100</v>
      </c>
      <c r="B1952" t="s">
        <v>10</v>
      </c>
      <c r="C1952" t="s">
        <v>9</v>
      </c>
      <c r="D1952">
        <v>43</v>
      </c>
      <c r="E1952">
        <v>35</v>
      </c>
      <c r="F1952">
        <v>8</v>
      </c>
      <c r="G1952">
        <v>2</v>
      </c>
      <c r="H1952" s="1">
        <v>6.3194444444444444E-3</v>
      </c>
      <c r="I1952">
        <v>2018</v>
      </c>
      <c r="J1952" t="s">
        <v>1</v>
      </c>
      <c r="K1952" s="2" t="str">
        <f>HYPERLINK("https://www.nba.com/stats/events?CFID=&amp;CFPARAMS=&amp;GameEventID=212&amp;GameID=0021800100&amp;Season=2018-19&amp;flag=1&amp;title=Valanciunas%203PT%20Jump%20Shot%20(13%20PTS)%20(Leonard%202%20AST)", "Valanciunas 3PT Jump Shot (13 PTS) (Leonard 2 AST)")</f>
        <v>Valanciunas 3PT Jump Shot (13 PTS) (Leonard 2 AST)</v>
      </c>
      <c r="L1952" s="2" t="str">
        <f>HYPERLINK("https://www.nba.com/game/...-vs-...-0021800100/play-by-play?watchFullGame=true", "TOR vs PHI - Q2 09:06.00")</f>
        <v>TOR vs PHI - Q2 09:06.00</v>
      </c>
      <c r="M1952">
        <v>0</v>
      </c>
      <c r="N1952">
        <v>232</v>
      </c>
      <c r="O1952">
        <v>10</v>
      </c>
      <c r="P1952">
        <v>232</v>
      </c>
      <c r="Q1952">
        <v>10</v>
      </c>
      <c r="R1952" t="s">
        <v>0</v>
      </c>
      <c r="S1952" t="s">
        <v>0</v>
      </c>
      <c r="T1952" t="s">
        <v>0</v>
      </c>
    </row>
    <row r="1953" spans="1:20" x14ac:dyDescent="0.25">
      <c r="A1953">
        <v>21800123</v>
      </c>
      <c r="B1953" t="s">
        <v>10</v>
      </c>
      <c r="C1953" t="s">
        <v>3</v>
      </c>
      <c r="D1953">
        <v>61</v>
      </c>
      <c r="E1953">
        <v>54</v>
      </c>
      <c r="F1953">
        <v>7</v>
      </c>
      <c r="G1953">
        <v>3</v>
      </c>
      <c r="H1953" s="1">
        <v>6.7708333333333336E-3</v>
      </c>
      <c r="I1953">
        <v>2018</v>
      </c>
      <c r="J1953" t="s">
        <v>1</v>
      </c>
      <c r="K1953" s="2" t="str">
        <f>HYPERLINK("https://www.nba.com/stats/events?CFID=&amp;CFPARAMS=&amp;GameEventID=372&amp;GameID=0021800123&amp;Season=2018-19&amp;flag=1&amp;title=Green%203PT%20Running%20Jump%20Shot%20(8%20PTS)%20(Leonard%203%20AST)", "Green 3PT Running Jump Shot (8 PTS) (Leonard 3 AST)")</f>
        <v>Green 3PT Running Jump Shot (8 PTS) (Leonard 3 AST)</v>
      </c>
      <c r="L1953" s="2" t="str">
        <f>HYPERLINK("https://www.nba.com/game/...-vs-...-0021800123/play-by-play?watchFullGame=true", "TOR vs PHX - Q3 09:45.00")</f>
        <v>TOR vs PHX - Q3 09:45.00</v>
      </c>
      <c r="M1953">
        <v>0</v>
      </c>
      <c r="N1953">
        <v>228</v>
      </c>
      <c r="O1953">
        <v>36</v>
      </c>
      <c r="P1953">
        <v>228</v>
      </c>
      <c r="Q1953">
        <v>36</v>
      </c>
      <c r="R1953" t="s">
        <v>0</v>
      </c>
      <c r="S1953" t="s">
        <v>0</v>
      </c>
      <c r="T1953" t="s">
        <v>0</v>
      </c>
    </row>
    <row r="1954" spans="1:20" x14ac:dyDescent="0.25">
      <c r="A1954">
        <v>21800174</v>
      </c>
      <c r="B1954" t="s">
        <v>4</v>
      </c>
      <c r="C1954" t="s">
        <v>23</v>
      </c>
      <c r="D1954">
        <v>74</v>
      </c>
      <c r="E1954">
        <v>69</v>
      </c>
      <c r="F1954">
        <v>5</v>
      </c>
      <c r="G1954">
        <v>3</v>
      </c>
      <c r="H1954" s="1">
        <v>5.2430555555555555E-3</v>
      </c>
      <c r="I1954">
        <v>2018</v>
      </c>
      <c r="J1954" t="s">
        <v>1</v>
      </c>
      <c r="K1954" s="2" t="str">
        <f>HYPERLINK("https://www.nba.com/stats/events?CFID=&amp;CFPARAMS=&amp;GameEventID=396&amp;GameID=0021800174&amp;Season=2018-19&amp;flag=1&amp;title=Siakam%201'%20Driving%20Layup%20(13%20PTS)%20(Leonard%202%20AST)", "Siakam 1' Driving Layup (13 PTS) (Leonard 2 AST)")</f>
        <v>Siakam 1' Driving Layup (13 PTS) (Leonard 2 AST)</v>
      </c>
      <c r="L1954" s="2" t="str">
        <f>HYPERLINK("https://www.nba.com/game/...-vs-...-0021800174/play-by-play?watchFullGame=true", "TOR vs NYK - Q3 07:33.00")</f>
        <v>TOR vs NYK - Q3 07:33.00</v>
      </c>
      <c r="M1954">
        <v>1</v>
      </c>
      <c r="N1954">
        <v>-3</v>
      </c>
      <c r="O1954">
        <v>4</v>
      </c>
      <c r="P1954">
        <v>-3</v>
      </c>
      <c r="Q1954">
        <v>4</v>
      </c>
      <c r="R1954" t="s">
        <v>0</v>
      </c>
      <c r="S1954" t="s">
        <v>0</v>
      </c>
      <c r="T1954" t="s">
        <v>0</v>
      </c>
    </row>
    <row r="1955" spans="1:20" x14ac:dyDescent="0.25">
      <c r="A1955">
        <v>21800366</v>
      </c>
      <c r="B1955" t="s">
        <v>4</v>
      </c>
      <c r="C1955" t="s">
        <v>18</v>
      </c>
      <c r="D1955">
        <v>85</v>
      </c>
      <c r="E1955">
        <v>59</v>
      </c>
      <c r="F1955">
        <v>26</v>
      </c>
      <c r="G1955">
        <v>3</v>
      </c>
      <c r="H1955" s="1">
        <v>5.8564814814814818E-4</v>
      </c>
      <c r="I1955">
        <v>2018</v>
      </c>
      <c r="J1955" t="s">
        <v>12</v>
      </c>
      <c r="K1955" s="2" t="str">
        <f>HYPERLINK("https://www.nba.com/stats/events?CFID=&amp;CFPARAMS=&amp;GameEventID=475&amp;GameID=0021800366&amp;Season=2018-19&amp;flag=1&amp;title=Collins%202'%20Hook%20Shot%20(2%20PTS)%20(Leonard%201%20AST)", "Collins 2' Hook Shot (2 PTS) (Leonard 1 AST)")</f>
        <v>Collins 2' Hook Shot (2 PTS) (Leonard 1 AST)</v>
      </c>
      <c r="L1955" s="2" t="str">
        <f>HYPERLINK("https://www.nba.com/game/...-vs-...-0021800366/play-by-play?watchFullGame=true", "POR vs PHX - Q3 00:50.60")</f>
        <v>POR vs PHX - Q3 00:50.60</v>
      </c>
      <c r="M1955">
        <v>2</v>
      </c>
      <c r="N1955">
        <v>6</v>
      </c>
      <c r="O1955">
        <v>22</v>
      </c>
      <c r="P1955">
        <v>6</v>
      </c>
      <c r="Q1955">
        <v>22</v>
      </c>
      <c r="R1955" t="s">
        <v>0</v>
      </c>
      <c r="S1955" t="s">
        <v>0</v>
      </c>
      <c r="T1955" t="s">
        <v>0</v>
      </c>
    </row>
    <row r="1956" spans="1:20" x14ac:dyDescent="0.25">
      <c r="A1956">
        <v>21800563</v>
      </c>
      <c r="B1956" t="s">
        <v>4</v>
      </c>
      <c r="C1956" t="s">
        <v>37</v>
      </c>
      <c r="D1956">
        <v>11</v>
      </c>
      <c r="E1956">
        <v>21</v>
      </c>
      <c r="F1956">
        <v>10</v>
      </c>
      <c r="G1956">
        <v>1</v>
      </c>
      <c r="H1956" s="1">
        <v>3.5300925925925925E-3</v>
      </c>
      <c r="I1956">
        <v>2018</v>
      </c>
      <c r="J1956" t="s">
        <v>1</v>
      </c>
      <c r="K1956" s="2" t="str">
        <f>HYPERLINK("https://www.nba.com/stats/events?CFID=&amp;CFPARAMS=&amp;GameEventID=78&amp;GameID=0021800563&amp;Season=2018-19&amp;flag=1&amp;title=Siakam%201'%20Driving%20Dunk%20(4%20PTS)%20(Leonard%201%20AST)", "Siakam 1' Driving Dunk (4 PTS) (Leonard 1 AST)")</f>
        <v>Siakam 1' Driving Dunk (4 PTS) (Leonard 1 AST)</v>
      </c>
      <c r="L1956" s="2" t="str">
        <f>HYPERLINK("https://www.nba.com/game/...-vs-...-0021800563/play-by-play?watchFullGame=true", "TOR vs SAS - Q1 05:05.00")</f>
        <v>TOR vs SAS - Q1 05:05.00</v>
      </c>
      <c r="M1956">
        <v>1</v>
      </c>
      <c r="N1956">
        <v>-6</v>
      </c>
      <c r="O1956">
        <v>11</v>
      </c>
      <c r="P1956">
        <v>-6</v>
      </c>
      <c r="Q1956">
        <v>11</v>
      </c>
      <c r="R1956" t="s">
        <v>0</v>
      </c>
      <c r="S1956" t="s">
        <v>0</v>
      </c>
      <c r="T1956" t="s">
        <v>0</v>
      </c>
    </row>
    <row r="1957" spans="1:20" x14ac:dyDescent="0.25">
      <c r="A1957">
        <v>21800597</v>
      </c>
      <c r="B1957" t="s">
        <v>10</v>
      </c>
      <c r="C1957" t="s">
        <v>9</v>
      </c>
      <c r="D1957">
        <v>16</v>
      </c>
      <c r="E1957">
        <v>12</v>
      </c>
      <c r="F1957">
        <v>4</v>
      </c>
      <c r="G1957">
        <v>1</v>
      </c>
      <c r="H1957" s="1">
        <v>4.3518518518518515E-3</v>
      </c>
      <c r="I1957">
        <v>2018</v>
      </c>
      <c r="J1957" t="s">
        <v>12</v>
      </c>
      <c r="K1957" s="2" t="str">
        <f>HYPERLINK("https://www.nba.com/stats/events?CFID=&amp;CFPARAMS=&amp;GameEventID=74&amp;GameID=0021800597&amp;Season=2018-19&amp;flag=1&amp;title=Aminu%2025'%203PT%20Jump%20Shot%20(5%20PTS)%20(Leonard%201%20AST)", "Aminu 25' 3PT Jump Shot (5 PTS) (Leonard 1 AST)")</f>
        <v>Aminu 25' 3PT Jump Shot (5 PTS) (Leonard 1 AST)</v>
      </c>
      <c r="L1957" s="2" t="str">
        <f>HYPERLINK("https://www.nba.com/game/...-vs-...-0021800597/play-by-play?watchFullGame=true", "POR vs NYK - Q1 06:16.00")</f>
        <v>POR vs NYK - Q1 06:16.00</v>
      </c>
      <c r="M1957">
        <v>25</v>
      </c>
      <c r="N1957">
        <v>165</v>
      </c>
      <c r="O1957">
        <v>188</v>
      </c>
      <c r="P1957">
        <v>165</v>
      </c>
      <c r="Q1957">
        <v>188</v>
      </c>
      <c r="R1957" t="s">
        <v>0</v>
      </c>
      <c r="S1957" t="s">
        <v>0</v>
      </c>
      <c r="T1957" t="s">
        <v>0</v>
      </c>
    </row>
    <row r="1958" spans="1:20" x14ac:dyDescent="0.25">
      <c r="A1958">
        <v>21800602</v>
      </c>
      <c r="B1958" t="s">
        <v>4</v>
      </c>
      <c r="C1958" t="s">
        <v>20</v>
      </c>
      <c r="D1958">
        <v>88</v>
      </c>
      <c r="E1958">
        <v>88</v>
      </c>
      <c r="F1958">
        <v>0</v>
      </c>
      <c r="G1958">
        <v>4</v>
      </c>
      <c r="H1958" s="1">
        <v>5.6481481481481478E-3</v>
      </c>
      <c r="I1958">
        <v>2018</v>
      </c>
      <c r="J1958" t="s">
        <v>1</v>
      </c>
      <c r="K1958" s="2" t="str">
        <f>HYPERLINK("https://www.nba.com/stats/events?CFID=&amp;CFPARAMS=&amp;GameEventID=599&amp;GameID=0021800602&amp;Season=2018-19&amp;flag=1&amp;title=Siakam%202'%20Cutting%20Layup%20Shot%20(13%20PTS)%20(Leonard%206%20AST)", "Siakam 2' Cutting Layup Shot (13 PTS) (Leonard 6 AST)")</f>
        <v>Siakam 2' Cutting Layup Shot (13 PTS) (Leonard 6 AST)</v>
      </c>
      <c r="L1958" s="2" t="str">
        <f>HYPERLINK("https://www.nba.com/game/...-vs-...-0021800602/play-by-play?watchFullGame=true", "TOR vs ATL - Q4 08:08.00")</f>
        <v>TOR vs ATL - Q4 08:08.00</v>
      </c>
      <c r="M1958">
        <v>2</v>
      </c>
      <c r="N1958">
        <v>18</v>
      </c>
      <c r="O1958">
        <v>13</v>
      </c>
      <c r="P1958">
        <v>18</v>
      </c>
      <c r="Q1958">
        <v>13</v>
      </c>
      <c r="R1958" t="s">
        <v>0</v>
      </c>
      <c r="S1958" t="s">
        <v>0</v>
      </c>
      <c r="T1958" t="s">
        <v>0</v>
      </c>
    </row>
    <row r="1959" spans="1:20" x14ac:dyDescent="0.25">
      <c r="A1959">
        <v>21800649</v>
      </c>
      <c r="B1959" t="s">
        <v>4</v>
      </c>
      <c r="C1959" t="s">
        <v>20</v>
      </c>
      <c r="D1959">
        <v>29</v>
      </c>
      <c r="E1959">
        <v>26</v>
      </c>
      <c r="F1959">
        <v>3</v>
      </c>
      <c r="G1959">
        <v>2</v>
      </c>
      <c r="H1959" s="1">
        <v>7.5810185185185182E-3</v>
      </c>
      <c r="I1959">
        <v>2018</v>
      </c>
      <c r="J1959" t="s">
        <v>12</v>
      </c>
      <c r="K1959" s="2" t="str">
        <f>HYPERLINK("https://www.nba.com/stats/events?CFID=&amp;CFPARAMS=&amp;GameEventID=169&amp;GameID=0021800649&amp;Season=2018-19&amp;flag=1&amp;title=Stauskas%201'%20Cutting%20Layup%20Shot%20(2%20PTS)%20(Leonard%201%20AST)", "Stauskas 1' Cutting Layup Shot (2 PTS) (Leonard 1 AST)")</f>
        <v>Stauskas 1' Cutting Layup Shot (2 PTS) (Leonard 1 AST)</v>
      </c>
      <c r="L1959" s="2" t="str">
        <f>HYPERLINK("https://www.nba.com/game/...-vs-...-0021800649/play-by-play?watchFullGame=true", "POR vs SAC - Q2 10:55.00")</f>
        <v>POR vs SAC - Q2 10:55.00</v>
      </c>
      <c r="M1959">
        <v>1</v>
      </c>
      <c r="N1959">
        <v>13</v>
      </c>
      <c r="O1959">
        <v>5</v>
      </c>
      <c r="P1959">
        <v>13</v>
      </c>
      <c r="Q1959">
        <v>5</v>
      </c>
      <c r="R1959" t="s">
        <v>0</v>
      </c>
      <c r="S1959" t="s">
        <v>0</v>
      </c>
      <c r="T1959" t="s">
        <v>0</v>
      </c>
    </row>
    <row r="1960" spans="1:20" x14ac:dyDescent="0.25">
      <c r="A1960">
        <v>21801001</v>
      </c>
      <c r="B1960" t="s">
        <v>10</v>
      </c>
      <c r="C1960" t="s">
        <v>9</v>
      </c>
      <c r="D1960">
        <v>73</v>
      </c>
      <c r="E1960">
        <v>82</v>
      </c>
      <c r="F1960">
        <v>9</v>
      </c>
      <c r="G1960">
        <v>3</v>
      </c>
      <c r="H1960" s="1">
        <v>2.0370370370370369E-3</v>
      </c>
      <c r="I1960">
        <v>2018</v>
      </c>
      <c r="J1960" t="s">
        <v>1</v>
      </c>
      <c r="K1960" s="2" t="str">
        <f>HYPERLINK("https://www.nba.com/stats/events?CFID=&amp;CFPARAMS=&amp;GameEventID=457&amp;GameID=0021801001&amp;Season=2018-19&amp;flag=1&amp;title=Anunoby%2025'%203PT%20Jump%20Shot%20(6%20PTS)%20(Leonard%202%20AST)", "Anunoby 25' 3PT Jump Shot (6 PTS) (Leonard 2 AST)")</f>
        <v>Anunoby 25' 3PT Jump Shot (6 PTS) (Leonard 2 AST)</v>
      </c>
      <c r="L1960" s="2" t="str">
        <f>HYPERLINK("https://www.nba.com/game/...-vs-...-0021801001/play-by-play?watchFullGame=true", "TOR vs CLE - Q3 02:56.00")</f>
        <v>TOR vs CLE - Q3 02:56.00</v>
      </c>
      <c r="M1960">
        <v>25</v>
      </c>
      <c r="N1960">
        <v>228</v>
      </c>
      <c r="O1960">
        <v>113</v>
      </c>
      <c r="P1960">
        <v>228</v>
      </c>
      <c r="Q1960">
        <v>113</v>
      </c>
      <c r="R1960" t="s">
        <v>0</v>
      </c>
      <c r="S1960" t="s">
        <v>0</v>
      </c>
      <c r="T1960" t="s">
        <v>0</v>
      </c>
    </row>
    <row r="1961" spans="1:20" x14ac:dyDescent="0.25">
      <c r="A1961">
        <v>21801156</v>
      </c>
      <c r="B1961" t="s">
        <v>10</v>
      </c>
      <c r="C1961" t="s">
        <v>9</v>
      </c>
      <c r="D1961">
        <v>15</v>
      </c>
      <c r="E1961">
        <v>21</v>
      </c>
      <c r="F1961">
        <v>6</v>
      </c>
      <c r="G1961">
        <v>1</v>
      </c>
      <c r="H1961" s="1">
        <v>4.340277777777778E-3</v>
      </c>
      <c r="I1961">
        <v>2018</v>
      </c>
      <c r="J1961" t="s">
        <v>1</v>
      </c>
      <c r="K1961" s="2" t="str">
        <f>HYPERLINK("https://www.nba.com/stats/events?CFID=&amp;CFPARAMS=&amp;GameEventID=69&amp;GameID=0021801156&amp;Season=2018-19&amp;flag=1&amp;title=Green%2026'%203PT%20Jump%20Shot%20(10%20PTS)%20(Leonard%202%20AST)", "Green 26' 3PT Jump Shot (10 PTS) (Leonard 2 AST)")</f>
        <v>Green 26' 3PT Jump Shot (10 PTS) (Leonard 2 AST)</v>
      </c>
      <c r="L1961" s="2" t="str">
        <f>HYPERLINK("https://www.nba.com/game/...-vs-...-0021801156/play-by-play?watchFullGame=true", "TOR vs ORL - Q1 06:15.00")</f>
        <v>TOR vs ORL - Q1 06:15.00</v>
      </c>
      <c r="M1961">
        <v>26</v>
      </c>
      <c r="N1961">
        <v>178</v>
      </c>
      <c r="O1961">
        <v>195</v>
      </c>
      <c r="P1961">
        <v>178</v>
      </c>
      <c r="Q1961">
        <v>195</v>
      </c>
      <c r="R1961" t="s">
        <v>0</v>
      </c>
      <c r="S1961" t="s">
        <v>0</v>
      </c>
      <c r="T1961" t="s">
        <v>0</v>
      </c>
    </row>
    <row r="1962" spans="1:20" x14ac:dyDescent="0.25">
      <c r="A1962">
        <v>21401223</v>
      </c>
      <c r="B1962" t="s">
        <v>4</v>
      </c>
      <c r="C1962" t="s">
        <v>38</v>
      </c>
      <c r="D1962">
        <v>88</v>
      </c>
      <c r="E1962">
        <v>97</v>
      </c>
      <c r="F1962">
        <v>9</v>
      </c>
      <c r="G1962">
        <v>4</v>
      </c>
      <c r="H1962" s="1">
        <v>2.6041666666666665E-3</v>
      </c>
      <c r="I1962">
        <v>2014</v>
      </c>
      <c r="J1962" t="s">
        <v>7</v>
      </c>
      <c r="K1962" s="2" t="str">
        <f>HYPERLINK("https://www.nba.com/stats/events?CFID=&amp;CFPARAMS=&amp;GameEventID=446&amp;GameID=0021401223&amp;Season=2014-15&amp;flag=1&amp;title=Duncan%20%20Dunk%20(13%20PTS)%20(Leonard%203%20AST)", "Duncan  Dunk (13 PTS) (Leonard 3 AST)")</f>
        <v>Duncan  Dunk (13 PTS) (Leonard 3 AST)</v>
      </c>
      <c r="L1962" s="2" t="str">
        <f>HYPERLINK("https://www.nba.com/game/...-vs-...-0021401223/play-by-play?watchFullGame=true", "SAS vs NOP - Q4 03:45.00")</f>
        <v>SAS vs NOP - Q4 03:45.00</v>
      </c>
      <c r="M1962">
        <v>0</v>
      </c>
      <c r="N1962">
        <v>0</v>
      </c>
      <c r="O1962">
        <v>1</v>
      </c>
      <c r="P1962">
        <v>0</v>
      </c>
      <c r="Q1962">
        <v>1</v>
      </c>
      <c r="R1962" t="s">
        <v>0</v>
      </c>
      <c r="S1962" t="s">
        <v>0</v>
      </c>
      <c r="T1962" t="s">
        <v>0</v>
      </c>
    </row>
    <row r="1963" spans="1:20" x14ac:dyDescent="0.25">
      <c r="A1963">
        <v>21500098</v>
      </c>
      <c r="B1963" t="s">
        <v>4</v>
      </c>
      <c r="C1963" t="s">
        <v>20</v>
      </c>
      <c r="D1963">
        <v>82</v>
      </c>
      <c r="E1963">
        <v>68</v>
      </c>
      <c r="F1963">
        <v>14</v>
      </c>
      <c r="G1963">
        <v>3</v>
      </c>
      <c r="H1963" s="1">
        <v>2.5694444444444445E-3</v>
      </c>
      <c r="I1963">
        <v>2015</v>
      </c>
      <c r="J1963" t="s">
        <v>12</v>
      </c>
      <c r="K1963" s="2" t="str">
        <f>HYPERLINK("https://www.nba.com/stats/events?CFID=&amp;CFPARAMS=&amp;GameEventID=334&amp;GameID=0021500098&amp;Season=2015-16&amp;flag=1&amp;title=Lillard%202'%20Cutting%20Layup%20Shot%20(19%20PTS)%20(Leonard%201%20AST)", "Lillard 2' Cutting Layup Shot (19 PTS) (Leonard 1 AST)")</f>
        <v>Lillard 2' Cutting Layup Shot (19 PTS) (Leonard 1 AST)</v>
      </c>
      <c r="L1963" s="2" t="str">
        <f>HYPERLINK("https://www.nba.com/game/...-vs-...-0021500098/play-by-play?watchFullGame=true", "POR vs DET - Q3 03:42.00")</f>
        <v>POR vs DET - Q3 03:42.00</v>
      </c>
      <c r="M1963">
        <v>2</v>
      </c>
      <c r="N1963">
        <v>-20</v>
      </c>
      <c r="O1963">
        <v>0</v>
      </c>
      <c r="P1963">
        <v>-20</v>
      </c>
      <c r="Q1963">
        <v>0</v>
      </c>
      <c r="R1963" t="s">
        <v>0</v>
      </c>
      <c r="S1963" t="s">
        <v>0</v>
      </c>
      <c r="T1963" t="s">
        <v>0</v>
      </c>
    </row>
    <row r="1964" spans="1:20" x14ac:dyDescent="0.25">
      <c r="A1964">
        <v>21500123</v>
      </c>
      <c r="B1964" t="s">
        <v>10</v>
      </c>
      <c r="C1964" t="s">
        <v>9</v>
      </c>
      <c r="D1964">
        <v>75</v>
      </c>
      <c r="E1964">
        <v>70</v>
      </c>
      <c r="F1964">
        <v>5</v>
      </c>
      <c r="G1964">
        <v>3</v>
      </c>
      <c r="H1964" s="1">
        <v>2.2222222222222222E-3</v>
      </c>
      <c r="I1964">
        <v>2015</v>
      </c>
      <c r="J1964" t="s">
        <v>7</v>
      </c>
      <c r="K1964" s="2" t="str">
        <f>HYPERLINK("https://www.nba.com/stats/events?CFID=&amp;CFPARAMS=&amp;GameEventID=327&amp;GameID=0021500123&amp;Season=2015-16&amp;flag=1&amp;title=Mills%2025'%203PT%20Jump%20Shot%20(5%20PTS)%20(Leonard%203%20AST)", "Mills 25' 3PT Jump Shot (5 PTS) (Leonard 3 AST)")</f>
        <v>Mills 25' 3PT Jump Shot (5 PTS) (Leonard 3 AST)</v>
      </c>
      <c r="L1964" s="2" t="str">
        <f>HYPERLINK("https://www.nba.com/game/...-vs-...-0021500123/play-by-play?watchFullGame=true", "SAS vs POR - Q3 03:12.00")</f>
        <v>SAS vs POR - Q3 03:12.00</v>
      </c>
      <c r="M1964">
        <v>25</v>
      </c>
      <c r="N1964">
        <v>-114</v>
      </c>
      <c r="O1964">
        <v>224</v>
      </c>
      <c r="P1964">
        <v>-114</v>
      </c>
      <c r="Q1964">
        <v>224</v>
      </c>
      <c r="R1964" t="s">
        <v>0</v>
      </c>
      <c r="S1964" t="s">
        <v>0</v>
      </c>
      <c r="T1964" t="s">
        <v>0</v>
      </c>
    </row>
    <row r="1965" spans="1:20" x14ac:dyDescent="0.25">
      <c r="A1965">
        <v>21500207</v>
      </c>
      <c r="B1965" t="s">
        <v>10</v>
      </c>
      <c r="C1965" t="s">
        <v>9</v>
      </c>
      <c r="D1965">
        <v>59</v>
      </c>
      <c r="E1965">
        <v>41</v>
      </c>
      <c r="F1965">
        <v>18</v>
      </c>
      <c r="G1965">
        <v>3</v>
      </c>
      <c r="H1965" s="1">
        <v>3.6689814814814814E-3</v>
      </c>
      <c r="I1965">
        <v>2015</v>
      </c>
      <c r="J1965" t="s">
        <v>7</v>
      </c>
      <c r="K1965" s="2" t="str">
        <f>HYPERLINK("https://www.nba.com/stats/events?CFID=&amp;CFPARAMS=&amp;GameEventID=303&amp;GameID=0021500207&amp;Season=2015-16&amp;flag=1&amp;title=Green%2026'%203PT%20Jump%20Shot%20(13%20PTS)%20(Leonard%204%20AST)", "Green 26' 3PT Jump Shot (13 PTS) (Leonard 4 AST)")</f>
        <v>Green 26' 3PT Jump Shot (13 PTS) (Leonard 4 AST)</v>
      </c>
      <c r="L1965" s="2" t="str">
        <f>HYPERLINK("https://www.nba.com/game/...-vs-...-0021500207/play-by-play?watchFullGame=true", "SAS vs PHX - Q3 05:17.00")</f>
        <v>SAS vs PHX - Q3 05:17.00</v>
      </c>
      <c r="M1965">
        <v>26</v>
      </c>
      <c r="N1965">
        <v>-189</v>
      </c>
      <c r="O1965">
        <v>175</v>
      </c>
      <c r="P1965">
        <v>-189</v>
      </c>
      <c r="Q1965">
        <v>175</v>
      </c>
      <c r="R1965" t="s">
        <v>0</v>
      </c>
      <c r="S1965" t="s">
        <v>0</v>
      </c>
      <c r="T1965" t="s">
        <v>0</v>
      </c>
    </row>
    <row r="1966" spans="1:20" x14ac:dyDescent="0.25">
      <c r="A1966">
        <v>21500275</v>
      </c>
      <c r="B1966" t="s">
        <v>4</v>
      </c>
      <c r="C1966" t="s">
        <v>45</v>
      </c>
      <c r="D1966">
        <v>65</v>
      </c>
      <c r="E1966">
        <v>45</v>
      </c>
      <c r="F1966">
        <v>20</v>
      </c>
      <c r="G1966">
        <v>3</v>
      </c>
      <c r="H1966" s="1">
        <v>3.3564814814814816E-3</v>
      </c>
      <c r="I1966">
        <v>2015</v>
      </c>
      <c r="J1966" t="s">
        <v>7</v>
      </c>
      <c r="K1966" s="2" t="str">
        <f>HYPERLINK("https://www.nba.com/stats/events?CFID=&amp;CFPARAMS=&amp;GameEventID=360&amp;GameID=0021500275&amp;Season=2015-16&amp;flag=1&amp;title=Simmons%20%20Alley%20Oop%20Dunk%20(2%20PTS)%20(Leonard%204%20AST)", "Simmons  Alley Oop Dunk (2 PTS) (Leonard 4 AST)")</f>
        <v>Simmons  Alley Oop Dunk (2 PTS) (Leonard 4 AST)</v>
      </c>
      <c r="L1966" s="2" t="str">
        <f>HYPERLINK("https://www.nba.com/game/...-vs-...-0021500275/play-by-play?watchFullGame=true", "SAS vs MIL - Q3 04:50.00")</f>
        <v>SAS vs MIL - Q3 04:50.00</v>
      </c>
      <c r="M1966">
        <v>0</v>
      </c>
      <c r="N1966">
        <v>0</v>
      </c>
      <c r="O1966">
        <v>1</v>
      </c>
      <c r="P1966">
        <v>0</v>
      </c>
      <c r="Q1966">
        <v>1</v>
      </c>
      <c r="R1966" t="s">
        <v>0</v>
      </c>
      <c r="S1966" t="s">
        <v>0</v>
      </c>
      <c r="T1966" t="s">
        <v>0</v>
      </c>
    </row>
    <row r="1967" spans="1:20" x14ac:dyDescent="0.25">
      <c r="A1967">
        <v>21500281</v>
      </c>
      <c r="B1967" t="s">
        <v>10</v>
      </c>
      <c r="C1967" t="s">
        <v>9</v>
      </c>
      <c r="D1967">
        <v>33</v>
      </c>
      <c r="E1967">
        <v>33</v>
      </c>
      <c r="F1967">
        <v>0</v>
      </c>
      <c r="G1967">
        <v>2</v>
      </c>
      <c r="H1967" s="1">
        <v>7.3495370370370372E-3</v>
      </c>
      <c r="I1967">
        <v>2015</v>
      </c>
      <c r="J1967" t="s">
        <v>12</v>
      </c>
      <c r="K1967" s="2" t="str">
        <f>HYPERLINK("https://www.nba.com/stats/events?CFID=&amp;CFPARAMS=&amp;GameEventID=115&amp;GameID=0021500281&amp;Season=2015-16&amp;flag=1&amp;title=McCollum%2024'%203PT%20Jump%20Shot%20(8%20PTS)%20(Leonard%201%20AST)", "McCollum 24' 3PT Jump Shot (8 PTS) (Leonard 1 AST)")</f>
        <v>McCollum 24' 3PT Jump Shot (8 PTS) (Leonard 1 AST)</v>
      </c>
      <c r="L1967" s="2" t="str">
        <f>HYPERLINK("https://www.nba.com/game/...-vs-...-0021500281/play-by-play?watchFullGame=true", "POR vs IND - Q2 10:35.00")</f>
        <v>POR vs IND - Q2 10:35.00</v>
      </c>
      <c r="M1967">
        <v>24</v>
      </c>
      <c r="N1967">
        <v>194</v>
      </c>
      <c r="O1967">
        <v>141</v>
      </c>
      <c r="P1967">
        <v>194</v>
      </c>
      <c r="Q1967">
        <v>141</v>
      </c>
      <c r="R1967" t="s">
        <v>0</v>
      </c>
      <c r="S1967" t="s">
        <v>0</v>
      </c>
      <c r="T1967" t="s">
        <v>0</v>
      </c>
    </row>
    <row r="1968" spans="1:20" x14ac:dyDescent="0.25">
      <c r="A1968">
        <v>21500296</v>
      </c>
      <c r="B1968" t="s">
        <v>4</v>
      </c>
      <c r="C1968" t="s">
        <v>19</v>
      </c>
      <c r="D1968">
        <v>8</v>
      </c>
      <c r="E1968">
        <v>12</v>
      </c>
      <c r="F1968">
        <v>4</v>
      </c>
      <c r="G1968">
        <v>1</v>
      </c>
      <c r="H1968" s="1">
        <v>5.092592592592593E-3</v>
      </c>
      <c r="I1968">
        <v>2015</v>
      </c>
      <c r="J1968" t="s">
        <v>7</v>
      </c>
      <c r="K1968" s="2" t="str">
        <f>HYPERLINK("https://www.nba.com/stats/events?CFID=&amp;CFPARAMS=&amp;GameEventID=35&amp;GameID=0021500296&amp;Season=2015-16&amp;flag=1&amp;title=Green%2012'%20Pullup%20Jump%20Shot%20(4%20PTS)%20(Leonard%201%20AST)", "Green 12' Pullup Jump Shot (4 PTS) (Leonard 1 AST)")</f>
        <v>Green 12' Pullup Jump Shot (4 PTS) (Leonard 1 AST)</v>
      </c>
      <c r="L1968" s="2" t="str">
        <f>HYPERLINK("https://www.nba.com/game/...-vs-...-0021500296/play-by-play?watchFullGame=true", "SAS vs BOS - Q1 07:20.00")</f>
        <v>SAS vs BOS - Q1 07:20.00</v>
      </c>
      <c r="M1968">
        <v>12</v>
      </c>
      <c r="N1968">
        <v>-4</v>
      </c>
      <c r="O1968">
        <v>120</v>
      </c>
      <c r="P1968">
        <v>-4</v>
      </c>
      <c r="Q1968">
        <v>120</v>
      </c>
      <c r="R1968" t="s">
        <v>0</v>
      </c>
      <c r="S1968" t="s">
        <v>0</v>
      </c>
      <c r="T1968" t="s">
        <v>0</v>
      </c>
    </row>
    <row r="1969" spans="1:20" x14ac:dyDescent="0.25">
      <c r="A1969">
        <v>21500347</v>
      </c>
      <c r="B1969" t="s">
        <v>4</v>
      </c>
      <c r="C1969" t="s">
        <v>18</v>
      </c>
      <c r="D1969">
        <v>47</v>
      </c>
      <c r="E1969">
        <v>25</v>
      </c>
      <c r="F1969">
        <v>22</v>
      </c>
      <c r="G1969">
        <v>2</v>
      </c>
      <c r="H1969" s="1">
        <v>1.6435185185185183E-4</v>
      </c>
      <c r="I1969">
        <v>2015</v>
      </c>
      <c r="J1969" t="s">
        <v>7</v>
      </c>
      <c r="K1969" s="2" t="str">
        <f>HYPERLINK("https://www.nba.com/stats/events?CFID=&amp;CFPARAMS=&amp;GameEventID=248&amp;GameID=0021500347&amp;Season=2015-16&amp;flag=1&amp;title=Aldridge%203'%20Hook%20Shot%20(6%20PTS)%20(Leonard%201%20AST)", "Aldridge 3' Hook Shot (6 PTS) (Leonard 1 AST)")</f>
        <v>Aldridge 3' Hook Shot (6 PTS) (Leonard 1 AST)</v>
      </c>
      <c r="L1969" s="2" t="str">
        <f>HYPERLINK("https://www.nba.com/game/...-vs-...-0021500347/play-by-play?watchFullGame=true", "SAS vs ATL - Q2 00:14.20")</f>
        <v>SAS vs ATL - Q2 00:14.20</v>
      </c>
      <c r="M1969">
        <v>3</v>
      </c>
      <c r="N1969">
        <v>0</v>
      </c>
      <c r="O1969">
        <v>26</v>
      </c>
      <c r="P1969">
        <v>0</v>
      </c>
      <c r="Q1969">
        <v>26</v>
      </c>
      <c r="R1969" t="s">
        <v>0</v>
      </c>
      <c r="S1969" t="s">
        <v>0</v>
      </c>
      <c r="T1969" t="s">
        <v>0</v>
      </c>
    </row>
    <row r="1970" spans="1:20" x14ac:dyDescent="0.25">
      <c r="A1970">
        <v>21800766</v>
      </c>
      <c r="B1970" t="s">
        <v>4</v>
      </c>
      <c r="C1970" t="s">
        <v>9</v>
      </c>
      <c r="D1970">
        <v>2</v>
      </c>
      <c r="E1970">
        <v>2</v>
      </c>
      <c r="F1970">
        <v>0</v>
      </c>
      <c r="G1970">
        <v>1</v>
      </c>
      <c r="H1970" s="1">
        <v>7.6736111111111111E-3</v>
      </c>
      <c r="I1970">
        <v>2018</v>
      </c>
      <c r="J1970" t="s">
        <v>1</v>
      </c>
      <c r="K1970" s="2" t="str">
        <f>HYPERLINK("https://www.nba.com/stats/events?CFID=&amp;CFPARAMS=&amp;GameEventID=9&amp;GameID=0021800766&amp;Season=2018-19&amp;flag=1&amp;title=Ibaka%2019'%20Jump%20Shot%20(2%20PTS)%20(Leonard%201%20AST)", "Ibaka 19' Jump Shot (2 PTS) (Leonard 1 AST)")</f>
        <v>Ibaka 19' Jump Shot (2 PTS) (Leonard 1 AST)</v>
      </c>
      <c r="L1970" s="2" t="str">
        <f>HYPERLINK("https://www.nba.com/game/...-vs-...-0021800766/play-by-play?watchFullGame=true", "TOR vs MIL - Q1 11:03.00")</f>
        <v>TOR vs MIL - Q1 11:03.00</v>
      </c>
      <c r="M1970">
        <v>19</v>
      </c>
      <c r="N1970">
        <v>-19</v>
      </c>
      <c r="O1970">
        <v>193</v>
      </c>
      <c r="P1970">
        <v>-19</v>
      </c>
      <c r="Q1970">
        <v>193</v>
      </c>
      <c r="R1970" t="s">
        <v>0</v>
      </c>
      <c r="S1970" t="s">
        <v>0</v>
      </c>
      <c r="T1970" t="s">
        <v>0</v>
      </c>
    </row>
    <row r="1971" spans="1:20" x14ac:dyDescent="0.25">
      <c r="A1971">
        <v>21800842</v>
      </c>
      <c r="B1971" t="s">
        <v>10</v>
      </c>
      <c r="C1971" t="s">
        <v>9</v>
      </c>
      <c r="D1971">
        <v>3</v>
      </c>
      <c r="E1971">
        <v>3</v>
      </c>
      <c r="F1971">
        <v>0</v>
      </c>
      <c r="G1971">
        <v>1</v>
      </c>
      <c r="H1971" s="1">
        <v>7.9629629629629634E-3</v>
      </c>
      <c r="I1971">
        <v>2018</v>
      </c>
      <c r="J1971" t="s">
        <v>1</v>
      </c>
      <c r="K1971" s="2" t="str">
        <f>HYPERLINK("https://www.nba.com/stats/events?CFID=&amp;CFPARAMS=&amp;GameEventID=9&amp;GameID=0021800842&amp;Season=2018-19&amp;flag=1&amp;title=Green%2026'%203PT%20Jump%20Shot%20(3%20PTS)%20(Leonard%201%20AST)", "Green 26' 3PT Jump Shot (3 PTS) (Leonard 1 AST)")</f>
        <v>Green 26' 3PT Jump Shot (3 PTS) (Leonard 1 AST)</v>
      </c>
      <c r="L1971" s="2" t="str">
        <f>HYPERLINK("https://www.nba.com/game/...-vs-...-0021800842/play-by-play?watchFullGame=true", "TOR vs BKN - Q1 11:28.00")</f>
        <v>TOR vs BKN - Q1 11:28.00</v>
      </c>
      <c r="M1971">
        <v>26</v>
      </c>
      <c r="N1971">
        <v>92</v>
      </c>
      <c r="O1971">
        <v>239</v>
      </c>
      <c r="P1971">
        <v>92</v>
      </c>
      <c r="Q1971">
        <v>239</v>
      </c>
      <c r="R1971" t="s">
        <v>0</v>
      </c>
      <c r="S1971" t="s">
        <v>0</v>
      </c>
      <c r="T1971" t="s">
        <v>0</v>
      </c>
    </row>
    <row r="1972" spans="1:20" x14ac:dyDescent="0.25">
      <c r="A1972">
        <v>21800909</v>
      </c>
      <c r="B1972" t="s">
        <v>10</v>
      </c>
      <c r="C1972" t="s">
        <v>9</v>
      </c>
      <c r="D1972">
        <v>81</v>
      </c>
      <c r="E1972">
        <v>62</v>
      </c>
      <c r="F1972">
        <v>19</v>
      </c>
      <c r="G1972">
        <v>3</v>
      </c>
      <c r="H1972" s="1">
        <v>3.5416666666666665E-3</v>
      </c>
      <c r="I1972">
        <v>2018</v>
      </c>
      <c r="J1972" t="s">
        <v>1</v>
      </c>
      <c r="K1972" s="2" t="str">
        <f>HYPERLINK("https://www.nba.com/stats/events?CFID=&amp;CFPARAMS=&amp;GameEventID=429&amp;GameID=0021800909&amp;Season=2018-19&amp;flag=1&amp;title=Siakam%203PT%20Jump%20Shot%20(17%20PTS)%20(Leonard%203%20AST)", "Siakam 3PT Jump Shot (17 PTS) (Leonard 3 AST)")</f>
        <v>Siakam 3PT Jump Shot (17 PTS) (Leonard 3 AST)</v>
      </c>
      <c r="L1972" s="2" t="str">
        <f>HYPERLINK("https://www.nba.com/game/...-vs-...-0021800909/play-by-play?watchFullGame=true", "TOR vs BOS - Q3 05:06.00")</f>
        <v>TOR vs BOS - Q3 05:06.00</v>
      </c>
      <c r="M1972">
        <v>0</v>
      </c>
      <c r="N1972">
        <v>-232</v>
      </c>
      <c r="O1972">
        <v>10</v>
      </c>
      <c r="P1972">
        <v>-232</v>
      </c>
      <c r="Q1972">
        <v>10</v>
      </c>
      <c r="R1972" t="s">
        <v>0</v>
      </c>
      <c r="S1972" t="s">
        <v>0</v>
      </c>
      <c r="T1972" t="s">
        <v>0</v>
      </c>
    </row>
    <row r="1973" spans="1:20" x14ac:dyDescent="0.25">
      <c r="A1973">
        <v>21801098</v>
      </c>
      <c r="B1973" t="s">
        <v>10</v>
      </c>
      <c r="C1973" t="s">
        <v>9</v>
      </c>
      <c r="D1973">
        <v>25</v>
      </c>
      <c r="E1973">
        <v>15</v>
      </c>
      <c r="F1973">
        <v>10</v>
      </c>
      <c r="G1973">
        <v>1</v>
      </c>
      <c r="H1973" s="1">
        <v>2.2916666666666667E-3</v>
      </c>
      <c r="I1973">
        <v>2018</v>
      </c>
      <c r="J1973" t="s">
        <v>1</v>
      </c>
      <c r="K1973" s="2" t="str">
        <f>HYPERLINK("https://www.nba.com/stats/events?CFID=&amp;CFPARAMS=&amp;GameEventID=114&amp;GameID=0021801098&amp;Season=2018-19&amp;flag=1&amp;title=Anunoby%203PT%20Jump%20Shot%20(3%20PTS)%20(Leonard%202%20AST)", "Anunoby 3PT Jump Shot (3 PTS) (Leonard 2 AST)")</f>
        <v>Anunoby 3PT Jump Shot (3 PTS) (Leonard 2 AST)</v>
      </c>
      <c r="L1973" s="2" t="str">
        <f>HYPERLINK("https://www.nba.com/game/...-vs-...-0021801098/play-by-play?watchFullGame=true", "TOR vs CHA - Q1 03:18.00")</f>
        <v>TOR vs CHA - Q1 03:18.00</v>
      </c>
      <c r="M1973">
        <v>0</v>
      </c>
      <c r="N1973">
        <v>231</v>
      </c>
      <c r="O1973">
        <v>1</v>
      </c>
      <c r="P1973">
        <v>231</v>
      </c>
      <c r="Q1973">
        <v>1</v>
      </c>
      <c r="R1973" t="s">
        <v>0</v>
      </c>
      <c r="S1973" t="s">
        <v>0</v>
      </c>
      <c r="T1973" t="s">
        <v>0</v>
      </c>
    </row>
    <row r="1974" spans="1:20" x14ac:dyDescent="0.25">
      <c r="A1974">
        <v>21801139</v>
      </c>
      <c r="B1974" t="s">
        <v>4</v>
      </c>
      <c r="C1974" t="s">
        <v>23</v>
      </c>
      <c r="D1974">
        <v>66</v>
      </c>
      <c r="E1974">
        <v>70</v>
      </c>
      <c r="F1974">
        <v>4</v>
      </c>
      <c r="G1974">
        <v>4</v>
      </c>
      <c r="H1974" s="1">
        <v>5.8217592592592592E-3</v>
      </c>
      <c r="I1974">
        <v>2018</v>
      </c>
      <c r="J1974" t="s">
        <v>12</v>
      </c>
      <c r="K1974" s="2" t="str">
        <f>HYPERLINK("https://www.nba.com/stats/events?CFID=&amp;CFPARAMS=&amp;GameEventID=519&amp;GameID=0021801139&amp;Season=2018-19&amp;flag=1&amp;title=Curry%201'%20Driving%20Layup%20(9%20PTS)%20(Leonard%202%20AST)", "Curry 1' Driving Layup (9 PTS) (Leonard 2 AST)")</f>
        <v>Curry 1' Driving Layup (9 PTS) (Leonard 2 AST)</v>
      </c>
      <c r="L1974" s="2" t="str">
        <f>HYPERLINK("https://www.nba.com/game/...-vs-...-0021801139/play-by-play?watchFullGame=true", "POR vs DET - Q4 08:23.00")</f>
        <v>POR vs DET - Q4 08:23.00</v>
      </c>
      <c r="M1974">
        <v>1</v>
      </c>
      <c r="N1974">
        <v>9</v>
      </c>
      <c r="O1974">
        <v>-1</v>
      </c>
      <c r="P1974">
        <v>9</v>
      </c>
      <c r="Q1974">
        <v>-1</v>
      </c>
      <c r="R1974" t="s">
        <v>0</v>
      </c>
      <c r="S1974" t="s">
        <v>0</v>
      </c>
      <c r="T1974" t="s">
        <v>0</v>
      </c>
    </row>
    <row r="1975" spans="1:20" x14ac:dyDescent="0.25">
      <c r="A1975">
        <v>21801180</v>
      </c>
      <c r="B1975" t="s">
        <v>10</v>
      </c>
      <c r="C1975" t="s">
        <v>9</v>
      </c>
      <c r="D1975">
        <v>109</v>
      </c>
      <c r="E1975">
        <v>108</v>
      </c>
      <c r="F1975">
        <v>1</v>
      </c>
      <c r="G1975">
        <v>4</v>
      </c>
      <c r="H1975" s="1">
        <v>4.5370370370370372E-4</v>
      </c>
      <c r="I1975">
        <v>2018</v>
      </c>
      <c r="J1975" t="s">
        <v>1</v>
      </c>
      <c r="K1975" s="2" t="str">
        <f>HYPERLINK("https://www.nba.com/stats/events?CFID=&amp;CFPARAMS=&amp;GameEventID=604&amp;GameID=0021801180&amp;Season=2018-19&amp;flag=1&amp;title=Siakam%2026'%203PT%20Jump%20Shot%20(14%20PTS)%20(Leonard%204%20AST)", "Siakam 26' 3PT Jump Shot (14 PTS) (Leonard 4 AST)")</f>
        <v>Siakam 26' 3PT Jump Shot (14 PTS) (Leonard 4 AST)</v>
      </c>
      <c r="L1975" s="2" t="str">
        <f>HYPERLINK("https://www.nba.com/game/...-vs-...-0021801180/play-by-play?watchFullGame=true", "TOR vs CHA - Q4 00:39.20")</f>
        <v>TOR vs CHA - Q4 00:39.20</v>
      </c>
      <c r="M1975">
        <v>26</v>
      </c>
      <c r="N1975">
        <v>-215</v>
      </c>
      <c r="O1975">
        <v>154</v>
      </c>
      <c r="P1975">
        <v>-215</v>
      </c>
      <c r="Q1975">
        <v>154</v>
      </c>
      <c r="R1975" t="s">
        <v>0</v>
      </c>
      <c r="S1975" t="s">
        <v>0</v>
      </c>
      <c r="T1975" t="s">
        <v>0</v>
      </c>
    </row>
    <row r="1976" spans="1:20" x14ac:dyDescent="0.25">
      <c r="A1976">
        <v>21600629</v>
      </c>
      <c r="B1976" t="s">
        <v>4</v>
      </c>
      <c r="C1976" t="s">
        <v>9</v>
      </c>
      <c r="D1976">
        <v>24</v>
      </c>
      <c r="E1976">
        <v>21</v>
      </c>
      <c r="F1976">
        <v>3</v>
      </c>
      <c r="G1976">
        <v>1</v>
      </c>
      <c r="H1976" s="1">
        <v>1.3425925925925925E-3</v>
      </c>
      <c r="I1976">
        <v>2016</v>
      </c>
      <c r="J1976" t="s">
        <v>12</v>
      </c>
      <c r="K1976" s="2" t="str">
        <f>HYPERLINK("https://www.nba.com/stats/events?CFID=&amp;CFPARAMS=&amp;GameEventID=96&amp;GameID=0021600629&amp;Season=2016-17&amp;flag=1&amp;title=Turner%2018'%20Jump%20Shot%20(2%20PTS)%20(Leonard%201%20AST)", "Turner 18' Jump Shot (2 PTS) (Leonard 1 AST)")</f>
        <v>Turner 18' Jump Shot (2 PTS) (Leonard 1 AST)</v>
      </c>
      <c r="L1976" s="2" t="str">
        <f>HYPERLINK("https://www.nba.com/game/...-vs-...-0021600629/play-by-play?watchFullGame=true", "POR vs CHA - Q1 01:56.00")</f>
        <v>POR vs CHA - Q1 01:56.00</v>
      </c>
      <c r="M1976">
        <v>18</v>
      </c>
      <c r="N1976">
        <v>63</v>
      </c>
      <c r="O1976">
        <v>164</v>
      </c>
      <c r="P1976">
        <v>63</v>
      </c>
      <c r="Q1976">
        <v>164</v>
      </c>
      <c r="R1976" t="s">
        <v>0</v>
      </c>
      <c r="S1976" t="s">
        <v>0</v>
      </c>
      <c r="T1976" t="s">
        <v>0</v>
      </c>
    </row>
    <row r="1977" spans="1:20" x14ac:dyDescent="0.25">
      <c r="A1977">
        <v>21600657</v>
      </c>
      <c r="B1977" t="s">
        <v>10</v>
      </c>
      <c r="C1977" t="s">
        <v>9</v>
      </c>
      <c r="D1977">
        <v>103</v>
      </c>
      <c r="E1977">
        <v>94</v>
      </c>
      <c r="F1977">
        <v>9</v>
      </c>
      <c r="G1977">
        <v>4</v>
      </c>
      <c r="H1977" s="1">
        <v>4.0509259259259257E-3</v>
      </c>
      <c r="I1977">
        <v>2016</v>
      </c>
      <c r="J1977" t="s">
        <v>7</v>
      </c>
      <c r="K1977" s="2" t="str">
        <f>HYPERLINK("https://www.nba.com/stats/events?CFID=&amp;CFPARAMS=&amp;GameEventID=433&amp;GameID=0021600657&amp;Season=2016-17&amp;flag=1&amp;title=Mills%2025'%203PT%20Jump%20Shot%20(10%20PTS)%20(Leonard%205%20AST)", "Mills 25' 3PT Jump Shot (10 PTS) (Leonard 5 AST)")</f>
        <v>Mills 25' 3PT Jump Shot (10 PTS) (Leonard 5 AST)</v>
      </c>
      <c r="L1977" s="2" t="str">
        <f>HYPERLINK("https://www.nba.com/game/...-vs-...-0021600657/play-by-play?watchFullGame=true", "SAS vs CLE - Q4 05:50.00")</f>
        <v>SAS vs CLE - Q4 05:50.00</v>
      </c>
      <c r="M1977">
        <v>25</v>
      </c>
      <c r="N1977">
        <v>-122</v>
      </c>
      <c r="O1977">
        <v>223</v>
      </c>
      <c r="P1977">
        <v>-122</v>
      </c>
      <c r="Q1977">
        <v>223</v>
      </c>
      <c r="R1977" t="s">
        <v>0</v>
      </c>
      <c r="S1977" t="s">
        <v>0</v>
      </c>
      <c r="T1977" t="s">
        <v>0</v>
      </c>
    </row>
    <row r="1978" spans="1:20" x14ac:dyDescent="0.25">
      <c r="A1978">
        <v>21600701</v>
      </c>
      <c r="B1978" t="s">
        <v>4</v>
      </c>
      <c r="C1978" t="s">
        <v>9</v>
      </c>
      <c r="D1978">
        <v>33</v>
      </c>
      <c r="E1978">
        <v>34</v>
      </c>
      <c r="F1978">
        <v>1</v>
      </c>
      <c r="G1978">
        <v>2</v>
      </c>
      <c r="H1978" s="1">
        <v>5.7754629629629631E-3</v>
      </c>
      <c r="I1978">
        <v>2016</v>
      </c>
      <c r="J1978" t="s">
        <v>7</v>
      </c>
      <c r="K1978" s="2" t="str">
        <f>HYPERLINK("https://www.nba.com/stats/events?CFID=&amp;CFPARAMS=&amp;GameEventID=171&amp;GameID=0021600701&amp;Season=2016-17&amp;flag=1&amp;title=Aldridge%2020'%20Jump%20Shot%20(5%20PTS)%20(Leonard%202%20AST)", "Aldridge 20' Jump Shot (5 PTS) (Leonard 2 AST)")</f>
        <v>Aldridge 20' Jump Shot (5 PTS) (Leonard 2 AST)</v>
      </c>
      <c r="L1978" s="2" t="str">
        <f>HYPERLINK("https://www.nba.com/game/...-vs-...-0021600701/play-by-play?watchFullGame=true", "SAS vs NOP - Q2 08:19.00")</f>
        <v>SAS vs NOP - Q2 08:19.00</v>
      </c>
      <c r="M1978">
        <v>20</v>
      </c>
      <c r="N1978">
        <v>28</v>
      </c>
      <c r="O1978">
        <v>203</v>
      </c>
      <c r="P1978">
        <v>28</v>
      </c>
      <c r="Q1978">
        <v>203</v>
      </c>
      <c r="R1978" t="s">
        <v>0</v>
      </c>
      <c r="S1978" t="s">
        <v>0</v>
      </c>
      <c r="T1978" t="s">
        <v>0</v>
      </c>
    </row>
    <row r="1979" spans="1:20" x14ac:dyDescent="0.25">
      <c r="A1979">
        <v>21600717</v>
      </c>
      <c r="B1979" t="s">
        <v>10</v>
      </c>
      <c r="C1979" t="s">
        <v>9</v>
      </c>
      <c r="D1979">
        <v>101</v>
      </c>
      <c r="E1979">
        <v>103</v>
      </c>
      <c r="F1979">
        <v>2</v>
      </c>
      <c r="G1979">
        <v>4</v>
      </c>
      <c r="H1979" s="1">
        <v>1.5162037037037037E-4</v>
      </c>
      <c r="I1979">
        <v>2016</v>
      </c>
      <c r="J1979" t="s">
        <v>7</v>
      </c>
      <c r="K1979" s="2" t="str">
        <f>HYPERLINK("https://www.nba.com/stats/events?CFID=&amp;CFPARAMS=&amp;GameEventID=507&amp;GameID=0021600717&amp;Season=2016-17&amp;flag=1&amp;title=Ginobili%2025'%203PT%20Jump%20Shot%20(10%20PTS)%20(Leonard%202%20AST)", "Ginobili 25' 3PT Jump Shot (10 PTS) (Leonard 2 AST)")</f>
        <v>Ginobili 25' 3PT Jump Shot (10 PTS) (Leonard 2 AST)</v>
      </c>
      <c r="L1979" s="2" t="str">
        <f>HYPERLINK("https://www.nba.com/game/...-vs-...-0021600717/play-by-play?watchFullGame=true", "SAS vs DAL - Q4 00:13.10")</f>
        <v>SAS vs DAL - Q4 00:13.10</v>
      </c>
      <c r="M1979">
        <v>25</v>
      </c>
      <c r="N1979">
        <v>207</v>
      </c>
      <c r="O1979">
        <v>134</v>
      </c>
      <c r="P1979">
        <v>207</v>
      </c>
      <c r="Q1979">
        <v>134</v>
      </c>
      <c r="R1979" t="s">
        <v>0</v>
      </c>
      <c r="S1979" t="s">
        <v>0</v>
      </c>
      <c r="T1979" t="s">
        <v>0</v>
      </c>
    </row>
    <row r="1980" spans="1:20" x14ac:dyDescent="0.25">
      <c r="A1980">
        <v>21600782</v>
      </c>
      <c r="B1980" t="s">
        <v>10</v>
      </c>
      <c r="C1980" t="s">
        <v>9</v>
      </c>
      <c r="D1980">
        <v>58</v>
      </c>
      <c r="E1980">
        <v>48</v>
      </c>
      <c r="F1980">
        <v>10</v>
      </c>
      <c r="G1980">
        <v>2</v>
      </c>
      <c r="H1980" s="1">
        <v>6.3657407407407413E-4</v>
      </c>
      <c r="I1980">
        <v>2016</v>
      </c>
      <c r="J1980" t="s">
        <v>7</v>
      </c>
      <c r="K1980" s="2" t="str">
        <f>HYPERLINK("https://www.nba.com/stats/events?CFID=&amp;CFPARAMS=&amp;GameEventID=228&amp;GameID=0021600782&amp;Season=2016-17&amp;flag=1&amp;title=Ginobili%2025'%203PT%20Jump%20Shot%20(3%20PTS)%20(Leonard%202%20AST)", "Ginobili 25' 3PT Jump Shot (3 PTS) (Leonard 2 AST)")</f>
        <v>Ginobili 25' 3PT Jump Shot (3 PTS) (Leonard 2 AST)</v>
      </c>
      <c r="L1980" s="2" t="str">
        <f>HYPERLINK("https://www.nba.com/game/...-vs-...-0021600782/play-by-play?watchFullGame=true", "SAS vs PHI - Q2 00:55.00")</f>
        <v>SAS vs PHI - Q2 00:55.00</v>
      </c>
      <c r="M1980">
        <v>25</v>
      </c>
      <c r="N1980">
        <v>-65</v>
      </c>
      <c r="O1980">
        <v>242</v>
      </c>
      <c r="P1980">
        <v>-65</v>
      </c>
      <c r="Q1980">
        <v>242</v>
      </c>
      <c r="R1980" t="s">
        <v>0</v>
      </c>
      <c r="S1980" t="s">
        <v>0</v>
      </c>
      <c r="T1980" t="s">
        <v>0</v>
      </c>
    </row>
    <row r="1981" spans="1:20" x14ac:dyDescent="0.25">
      <c r="A1981">
        <v>21600865</v>
      </c>
      <c r="B1981" t="s">
        <v>4</v>
      </c>
      <c r="C1981" t="s">
        <v>9</v>
      </c>
      <c r="D1981">
        <v>29</v>
      </c>
      <c r="E1981">
        <v>32</v>
      </c>
      <c r="F1981">
        <v>3</v>
      </c>
      <c r="G1981">
        <v>2</v>
      </c>
      <c r="H1981" s="1">
        <v>3.425925925925926E-3</v>
      </c>
      <c r="I1981">
        <v>2016</v>
      </c>
      <c r="J1981" t="s">
        <v>7</v>
      </c>
      <c r="K1981" s="2" t="str">
        <f>HYPERLINK("https://www.nba.com/stats/events?CFID=&amp;CFPARAMS=&amp;GameEventID=193&amp;GameID=0021600865&amp;Season=2016-17&amp;flag=1&amp;title=Parker%2021'%20Jump%20Shot%20(4%20PTS)%20(Leonard%203%20AST)", "Parker 21' Jump Shot (4 PTS) (Leonard 3 AST)")</f>
        <v>Parker 21' Jump Shot (4 PTS) (Leonard 3 AST)</v>
      </c>
      <c r="L1981" s="2" t="str">
        <f>HYPERLINK("https://www.nba.com/game/...-vs-...-0021600865/play-by-play?watchFullGame=true", "SAS vs LAC - Q2 04:56.00")</f>
        <v>SAS vs LAC - Q2 04:56.00</v>
      </c>
      <c r="M1981">
        <v>21</v>
      </c>
      <c r="N1981">
        <v>-110</v>
      </c>
      <c r="O1981">
        <v>178</v>
      </c>
      <c r="P1981">
        <v>-110</v>
      </c>
      <c r="Q1981">
        <v>178</v>
      </c>
      <c r="R1981" t="s">
        <v>0</v>
      </c>
      <c r="S1981" t="s">
        <v>0</v>
      </c>
      <c r="T1981" t="s">
        <v>0</v>
      </c>
    </row>
    <row r="1982" spans="1:20" x14ac:dyDescent="0.25">
      <c r="A1982">
        <v>21600946</v>
      </c>
      <c r="B1982" t="s">
        <v>10</v>
      </c>
      <c r="C1982" t="s">
        <v>9</v>
      </c>
      <c r="D1982">
        <v>90</v>
      </c>
      <c r="E1982">
        <v>85</v>
      </c>
      <c r="F1982">
        <v>5</v>
      </c>
      <c r="G1982">
        <v>3</v>
      </c>
      <c r="H1982" s="1">
        <v>3.449074074074074E-3</v>
      </c>
      <c r="I1982">
        <v>2016</v>
      </c>
      <c r="J1982" t="s">
        <v>12</v>
      </c>
      <c r="K1982" s="2" t="str">
        <f>HYPERLINK("https://www.nba.com/stats/events?CFID=&amp;CFPARAMS=&amp;GameEventID=340&amp;GameID=0021600946&amp;Season=2016-17&amp;flag=1&amp;title=Crabbe%2024'%203PT%20Jump%20Shot%20(18%20PTS)%20(Leonard%201%20AST)", "Crabbe 24' 3PT Jump Shot (18 PTS) (Leonard 1 AST)")</f>
        <v>Crabbe 24' 3PT Jump Shot (18 PTS) (Leonard 1 AST)</v>
      </c>
      <c r="L1982" s="2" t="str">
        <f>HYPERLINK("https://www.nba.com/game/...-vs-...-0021600946/play-by-play?watchFullGame=true", "POR vs OKC - Q3 04:58.00")</f>
        <v>POR vs OKC - Q3 04:58.00</v>
      </c>
      <c r="M1982">
        <v>24</v>
      </c>
      <c r="N1982">
        <v>210</v>
      </c>
      <c r="O1982">
        <v>115</v>
      </c>
      <c r="P1982">
        <v>210</v>
      </c>
      <c r="Q1982">
        <v>115</v>
      </c>
      <c r="R1982" t="s">
        <v>0</v>
      </c>
      <c r="S1982" t="s">
        <v>0</v>
      </c>
      <c r="T1982" t="s">
        <v>0</v>
      </c>
    </row>
    <row r="1983" spans="1:20" x14ac:dyDescent="0.25">
      <c r="A1983">
        <v>21601096</v>
      </c>
      <c r="B1983" t="s">
        <v>4</v>
      </c>
      <c r="C1983" t="s">
        <v>31</v>
      </c>
      <c r="D1983">
        <v>29</v>
      </c>
      <c r="E1983">
        <v>17</v>
      </c>
      <c r="F1983">
        <v>12</v>
      </c>
      <c r="G1983">
        <v>2</v>
      </c>
      <c r="H1983" s="1">
        <v>7.2106481481481483E-3</v>
      </c>
      <c r="I1983">
        <v>2016</v>
      </c>
      <c r="J1983" t="s">
        <v>12</v>
      </c>
      <c r="K1983" s="2" t="str">
        <f>HYPERLINK("https://www.nba.com/stats/events?CFID=&amp;CFPARAMS=&amp;GameEventID=135&amp;GameID=0021601096&amp;Season=2016-17&amp;flag=1&amp;title=McCollum%20%20Driving%20Reverse%20Layup%20(8%20PTS)%20(Leonard%201%20AST)", "McCollum  Driving Reverse Layup (8 PTS) (Leonard 1 AST)")</f>
        <v>McCollum  Driving Reverse Layup (8 PTS) (Leonard 1 AST)</v>
      </c>
      <c r="L1983" s="2" t="str">
        <f>HYPERLINK("https://www.nba.com/game/...-vs-...-0021601096/play-by-play?watchFullGame=true", "POR vs LAL - Q2 10:23.00")</f>
        <v>POR vs LAL - Q2 10:23.00</v>
      </c>
      <c r="M1983">
        <v>0</v>
      </c>
      <c r="N1983">
        <v>3</v>
      </c>
      <c r="O1983">
        <v>1</v>
      </c>
      <c r="P1983">
        <v>3</v>
      </c>
      <c r="Q1983">
        <v>1</v>
      </c>
      <c r="R1983" t="s">
        <v>0</v>
      </c>
      <c r="S1983" t="s">
        <v>0</v>
      </c>
      <c r="T1983" t="s">
        <v>0</v>
      </c>
    </row>
    <row r="1984" spans="1:20" x14ac:dyDescent="0.25">
      <c r="A1984">
        <v>21500453</v>
      </c>
      <c r="B1984" t="s">
        <v>4</v>
      </c>
      <c r="C1984" t="s">
        <v>20</v>
      </c>
      <c r="D1984">
        <v>90</v>
      </c>
      <c r="E1984">
        <v>57</v>
      </c>
      <c r="F1984">
        <v>33</v>
      </c>
      <c r="G1984">
        <v>3</v>
      </c>
      <c r="H1984" s="1">
        <v>1.7708333333333335E-4</v>
      </c>
      <c r="I1984">
        <v>2015</v>
      </c>
      <c r="J1984" t="s">
        <v>12</v>
      </c>
      <c r="K1984" s="2" t="str">
        <f>HYPERLINK("https://www.nba.com/stats/events?CFID=&amp;CFPARAMS=&amp;GameEventID=363&amp;GameID=0021500453&amp;Season=2015-16&amp;flag=1&amp;title=Frazier%201'%20Cutting%20Layup%20Shot%20(2%20PTS)%20(Leonard%204%20AST)", "Frazier 1' Cutting Layup Shot (2 PTS) (Leonard 4 AST)")</f>
        <v>Frazier 1' Cutting Layup Shot (2 PTS) (Leonard 4 AST)</v>
      </c>
      <c r="L1984" s="2" t="str">
        <f>HYPERLINK("https://www.nba.com/game/...-vs-...-0021500453/play-by-play?watchFullGame=true", "POR vs CLE - Q3 00:15.30")</f>
        <v>POR vs CLE - Q3 00:15.30</v>
      </c>
      <c r="M1984">
        <v>1</v>
      </c>
      <c r="N1984">
        <v>6</v>
      </c>
      <c r="O1984">
        <v>3</v>
      </c>
      <c r="P1984">
        <v>6</v>
      </c>
      <c r="Q1984">
        <v>3</v>
      </c>
      <c r="R1984" t="s">
        <v>0</v>
      </c>
      <c r="S1984" t="s">
        <v>0</v>
      </c>
      <c r="T1984" t="s">
        <v>0</v>
      </c>
    </row>
    <row r="1985" spans="1:20" x14ac:dyDescent="0.25">
      <c r="A1985">
        <v>21500481</v>
      </c>
      <c r="B1985" t="s">
        <v>4</v>
      </c>
      <c r="C1985" t="s">
        <v>9</v>
      </c>
      <c r="D1985">
        <v>82</v>
      </c>
      <c r="E1985">
        <v>54</v>
      </c>
      <c r="F1985">
        <v>28</v>
      </c>
      <c r="G1985">
        <v>3</v>
      </c>
      <c r="H1985" s="1">
        <v>1.0879629629629629E-3</v>
      </c>
      <c r="I1985">
        <v>2015</v>
      </c>
      <c r="J1985" t="s">
        <v>7</v>
      </c>
      <c r="K1985" s="2" t="str">
        <f>HYPERLINK("https://www.nba.com/stats/events?CFID=&amp;CFPARAMS=&amp;GameEventID=351&amp;GameID=0021500481&amp;Season=2015-16&amp;flag=1&amp;title=Aldridge%203'%20Jump%20Shot%20(21%20PTS)%20(Leonard%202%20AST)", "Aldridge 3' Jump Shot (21 PTS) (Leonard 2 AST)")</f>
        <v>Aldridge 3' Jump Shot (21 PTS) (Leonard 2 AST)</v>
      </c>
      <c r="L1985" s="2" t="str">
        <f>HYPERLINK("https://www.nba.com/game/...-vs-...-0021500481/play-by-play?watchFullGame=true", "SAS vs PHX - Q3 01:34.00")</f>
        <v>SAS vs PHX - Q3 01:34.00</v>
      </c>
      <c r="M1985">
        <v>3</v>
      </c>
      <c r="N1985">
        <v>-30</v>
      </c>
      <c r="O1985">
        <v>0</v>
      </c>
      <c r="P1985">
        <v>-30</v>
      </c>
      <c r="Q1985">
        <v>0</v>
      </c>
      <c r="R1985" t="s">
        <v>0</v>
      </c>
      <c r="S1985" t="s">
        <v>0</v>
      </c>
      <c r="T1985" t="s">
        <v>0</v>
      </c>
    </row>
    <row r="1986" spans="1:20" x14ac:dyDescent="0.25">
      <c r="A1986">
        <v>21500509</v>
      </c>
      <c r="B1986" t="s">
        <v>10</v>
      </c>
      <c r="C1986" t="s">
        <v>9</v>
      </c>
      <c r="D1986">
        <v>57</v>
      </c>
      <c r="E1986">
        <v>49</v>
      </c>
      <c r="F1986">
        <v>8</v>
      </c>
      <c r="G1986">
        <v>2</v>
      </c>
      <c r="H1986" s="1">
        <v>1.25E-3</v>
      </c>
      <c r="I1986">
        <v>2015</v>
      </c>
      <c r="J1986" t="s">
        <v>12</v>
      </c>
      <c r="K1986" s="2" t="str">
        <f>HYPERLINK("https://www.nba.com/stats/events?CFID=&amp;CFPARAMS=&amp;GameEventID=272&amp;GameID=0021500509&amp;Season=2015-16&amp;flag=1&amp;title=Aminu%2024'%203PT%20Jump%20Shot%20(8%20PTS)%20(Leonard%203%20AST)", "Aminu 24' 3PT Jump Shot (8 PTS) (Leonard 3 AST)")</f>
        <v>Aminu 24' 3PT Jump Shot (8 PTS) (Leonard 3 AST)</v>
      </c>
      <c r="L1986" s="2" t="str">
        <f>HYPERLINK("https://www.nba.com/game/...-vs-...-0021500509/play-by-play?watchFullGame=true", "POR vs DEN - Q2 01:48.00")</f>
        <v>POR vs DEN - Q2 01:48.00</v>
      </c>
      <c r="M1986">
        <v>24</v>
      </c>
      <c r="N1986">
        <v>238</v>
      </c>
      <c r="O1986">
        <v>7</v>
      </c>
      <c r="P1986">
        <v>238</v>
      </c>
      <c r="Q1986">
        <v>7</v>
      </c>
      <c r="R1986" t="s">
        <v>0</v>
      </c>
      <c r="S1986" t="s">
        <v>0</v>
      </c>
      <c r="T1986" t="s">
        <v>0</v>
      </c>
    </row>
    <row r="1987" spans="1:20" x14ac:dyDescent="0.25">
      <c r="A1987">
        <v>21500590</v>
      </c>
      <c r="B1987" t="s">
        <v>4</v>
      </c>
      <c r="C1987" t="s">
        <v>24</v>
      </c>
      <c r="D1987">
        <v>38</v>
      </c>
      <c r="E1987">
        <v>45</v>
      </c>
      <c r="F1987">
        <v>7</v>
      </c>
      <c r="G1987">
        <v>2</v>
      </c>
      <c r="H1987" s="1">
        <v>2.476851851851852E-3</v>
      </c>
      <c r="I1987">
        <v>2015</v>
      </c>
      <c r="J1987" t="s">
        <v>7</v>
      </c>
      <c r="K1987" s="2" t="str">
        <f>HYPERLINK("https://www.nba.com/stats/events?CFID=&amp;CFPARAMS=&amp;GameEventID=216&amp;GameID=0021500590&amp;Season=2015-16&amp;flag=1&amp;title=Parker%202'%20Cutting%20Finger%20Roll%20Layup%20Shot%20(12%20PTS)%20(Leonard%202%20AST)", "Parker 2' Cutting Finger Roll Layup Shot (12 PTS) (Leonard 2 AST)")</f>
        <v>Parker 2' Cutting Finger Roll Layup Shot (12 PTS) (Leonard 2 AST)</v>
      </c>
      <c r="L1987" s="2" t="str">
        <f>HYPERLINK("https://www.nba.com/game/...-vs-...-0021500590/play-by-play?watchFullGame=true", "SAS vs CLE - Q2 03:34.00")</f>
        <v>SAS vs CLE - Q2 03:34.00</v>
      </c>
      <c r="M1987">
        <v>2</v>
      </c>
      <c r="N1987">
        <v>-9</v>
      </c>
      <c r="O1987">
        <v>16</v>
      </c>
      <c r="P1987">
        <v>-9</v>
      </c>
      <c r="Q1987">
        <v>16</v>
      </c>
      <c r="R1987" t="s">
        <v>0</v>
      </c>
      <c r="S1987" t="s">
        <v>0</v>
      </c>
      <c r="T1987" t="s">
        <v>0</v>
      </c>
    </row>
    <row r="1988" spans="1:20" x14ac:dyDescent="0.25">
      <c r="A1988">
        <v>21500662</v>
      </c>
      <c r="B1988" t="s">
        <v>4</v>
      </c>
      <c r="C1988" t="s">
        <v>17</v>
      </c>
      <c r="D1988">
        <v>95</v>
      </c>
      <c r="E1988">
        <v>74</v>
      </c>
      <c r="F1988">
        <v>21</v>
      </c>
      <c r="G1988">
        <v>3</v>
      </c>
      <c r="H1988" s="1">
        <v>1.1689814814814816E-3</v>
      </c>
      <c r="I1988">
        <v>2015</v>
      </c>
      <c r="J1988" t="s">
        <v>12</v>
      </c>
      <c r="K1988" s="2" t="str">
        <f>HYPERLINK("https://www.nba.com/stats/events?CFID=&amp;CFPARAMS=&amp;GameEventID=350&amp;GameID=0021500662&amp;Season=2015-16&amp;flag=1&amp;title=Crabbe%209'%20Floating%20Jump%20Shot%20(4%20PTS)%20(Leonard%202%20AST)", "Crabbe 9' Floating Jump Shot (4 PTS) (Leonard 2 AST)")</f>
        <v>Crabbe 9' Floating Jump Shot (4 PTS) (Leonard 2 AST)</v>
      </c>
      <c r="L1988" s="2" t="str">
        <f>HYPERLINK("https://www.nba.com/game/...-vs-...-0021500662/play-by-play?watchFullGame=true", "POR vs LAL - Q3 01:41.00")</f>
        <v>POR vs LAL - Q3 01:41.00</v>
      </c>
      <c r="M1988">
        <v>9</v>
      </c>
      <c r="N1988">
        <v>-6</v>
      </c>
      <c r="O1988">
        <v>85</v>
      </c>
      <c r="P1988">
        <v>-6</v>
      </c>
      <c r="Q1988">
        <v>85</v>
      </c>
      <c r="R1988" t="s">
        <v>0</v>
      </c>
      <c r="S1988" t="s">
        <v>0</v>
      </c>
      <c r="T1988" t="s">
        <v>0</v>
      </c>
    </row>
    <row r="1989" spans="1:20" x14ac:dyDescent="0.25">
      <c r="A1989">
        <v>21500748</v>
      </c>
      <c r="B1989" t="s">
        <v>4</v>
      </c>
      <c r="C1989" t="s">
        <v>50</v>
      </c>
      <c r="D1989">
        <v>66</v>
      </c>
      <c r="E1989">
        <v>71</v>
      </c>
      <c r="F1989">
        <v>5</v>
      </c>
      <c r="G1989">
        <v>3</v>
      </c>
      <c r="H1989" s="1">
        <v>2.7199074074074074E-3</v>
      </c>
      <c r="I1989">
        <v>2015</v>
      </c>
      <c r="J1989" t="s">
        <v>12</v>
      </c>
      <c r="K1989" s="2" t="str">
        <f>HYPERLINK("https://www.nba.com/stats/events?CFID=&amp;CFPARAMS=&amp;GameEventID=338&amp;GameID=0021500748&amp;Season=2015-16&amp;flag=1&amp;title=Lillard%202'%20Finger%20Roll%20Layup%20(12%20PTS)%20(Leonard%201%20AST)", "Lillard 2' Finger Roll Layup (12 PTS) (Leonard 1 AST)")</f>
        <v>Lillard 2' Finger Roll Layup (12 PTS) (Leonard 1 AST)</v>
      </c>
      <c r="L1989" s="2" t="str">
        <f>HYPERLINK("https://www.nba.com/game/...-vs-...-0021500748/play-by-play?watchFullGame=true", "POR vs TOR - Q3 03:55.00")</f>
        <v>POR vs TOR - Q3 03:55.00</v>
      </c>
      <c r="M1989">
        <v>2</v>
      </c>
      <c r="N1989">
        <v>15</v>
      </c>
      <c r="O1989">
        <v>0</v>
      </c>
      <c r="P1989">
        <v>15</v>
      </c>
      <c r="Q1989">
        <v>0</v>
      </c>
      <c r="R1989" t="s">
        <v>0</v>
      </c>
      <c r="S1989" t="s">
        <v>0</v>
      </c>
      <c r="T1989" t="s">
        <v>0</v>
      </c>
    </row>
    <row r="1990" spans="1:20" x14ac:dyDescent="0.25">
      <c r="A1990">
        <v>21500979</v>
      </c>
      <c r="B1990" t="s">
        <v>10</v>
      </c>
      <c r="C1990" t="s">
        <v>9</v>
      </c>
      <c r="D1990">
        <v>39</v>
      </c>
      <c r="E1990">
        <v>35</v>
      </c>
      <c r="F1990">
        <v>4</v>
      </c>
      <c r="G1990">
        <v>2</v>
      </c>
      <c r="H1990" s="1">
        <v>3.449074074074074E-3</v>
      </c>
      <c r="I1990">
        <v>2015</v>
      </c>
      <c r="J1990" t="s">
        <v>7</v>
      </c>
      <c r="K1990" s="2" t="str">
        <f>HYPERLINK("https://www.nba.com/stats/events?CFID=&amp;CFPARAMS=&amp;GameEventID=215&amp;GameID=0021500979&amp;Season=2015-16&amp;flag=1&amp;title=Martin%2025'%203PT%20Jump%20Shot%20(3%20PTS)%20(Leonard%202%20AST)", "Martin 25' 3PT Jump Shot (3 PTS) (Leonard 2 AST)")</f>
        <v>Martin 25' 3PT Jump Shot (3 PTS) (Leonard 2 AST)</v>
      </c>
      <c r="L1990" s="2" t="str">
        <f>HYPERLINK("https://www.nba.com/game/...-vs-...-0021500979/play-by-play?watchFullGame=true", "SAS vs OKC - Q2 04:58.00")</f>
        <v>SAS vs OKC - Q2 04:58.00</v>
      </c>
      <c r="M1990">
        <v>25</v>
      </c>
      <c r="N1990">
        <v>137</v>
      </c>
      <c r="O1990">
        <v>214</v>
      </c>
      <c r="P1990">
        <v>137</v>
      </c>
      <c r="Q1990">
        <v>214</v>
      </c>
      <c r="R1990" t="s">
        <v>0</v>
      </c>
      <c r="S1990" t="s">
        <v>0</v>
      </c>
      <c r="T1990" t="s">
        <v>0</v>
      </c>
    </row>
    <row r="1991" spans="1:20" x14ac:dyDescent="0.25">
      <c r="A1991">
        <v>21501001</v>
      </c>
      <c r="B1991" t="s">
        <v>4</v>
      </c>
      <c r="C1991" t="s">
        <v>9</v>
      </c>
      <c r="D1991">
        <v>45</v>
      </c>
      <c r="E1991">
        <v>33</v>
      </c>
      <c r="F1991">
        <v>12</v>
      </c>
      <c r="G1991">
        <v>2</v>
      </c>
      <c r="H1991" s="1">
        <v>2.3032407407407407E-3</v>
      </c>
      <c r="I1991">
        <v>2015</v>
      </c>
      <c r="J1991" t="s">
        <v>7</v>
      </c>
      <c r="K1991" s="2" t="str">
        <f>HYPERLINK("https://www.nba.com/stats/events?CFID=&amp;CFPARAMS=&amp;GameEventID=201&amp;GameID=0021501001&amp;Season=2015-16&amp;flag=1&amp;title=Aldridge%209'%20Jump%20Shot%20(12%20PTS)%20(Leonard%203%20AST)", "Aldridge 9' Jump Shot (12 PTS) (Leonard 3 AST)")</f>
        <v>Aldridge 9' Jump Shot (12 PTS) (Leonard 3 AST)</v>
      </c>
      <c r="L1991" s="2" t="str">
        <f>HYPERLINK("https://www.nba.com/game/...-vs-...-0021501001/play-by-play?watchFullGame=true", "SAS vs LAC - Q2 03:19.00")</f>
        <v>SAS vs LAC - Q2 03:19.00</v>
      </c>
      <c r="M1991">
        <v>9</v>
      </c>
      <c r="N1991">
        <v>91</v>
      </c>
      <c r="O1991">
        <v>13</v>
      </c>
      <c r="P1991">
        <v>91</v>
      </c>
      <c r="Q1991">
        <v>13</v>
      </c>
      <c r="R1991" t="s">
        <v>0</v>
      </c>
      <c r="S1991" t="s">
        <v>0</v>
      </c>
      <c r="T1991" t="s">
        <v>0</v>
      </c>
    </row>
    <row r="1992" spans="1:20" x14ac:dyDescent="0.25">
      <c r="A1992">
        <v>21500928</v>
      </c>
      <c r="B1992" t="s">
        <v>10</v>
      </c>
      <c r="C1992" t="s">
        <v>9</v>
      </c>
      <c r="D1992">
        <v>47</v>
      </c>
      <c r="E1992">
        <v>41</v>
      </c>
      <c r="F1992">
        <v>6</v>
      </c>
      <c r="G1992">
        <v>2</v>
      </c>
      <c r="H1992" s="1">
        <v>2.7662037037037039E-3</v>
      </c>
      <c r="I1992">
        <v>2015</v>
      </c>
      <c r="J1992" t="s">
        <v>7</v>
      </c>
      <c r="K1992" s="2" t="str">
        <f>HYPERLINK("https://www.nba.com/stats/events?CFID=&amp;CFPARAMS=&amp;GameEventID=219&amp;GameID=0021500928&amp;Season=2015-16&amp;flag=1&amp;title=Diaw%2024'%203PT%20Jump%20Shot%20(9%20PTS)%20(Leonard%203%20AST)", "Diaw 24' 3PT Jump Shot (9 PTS) (Leonard 3 AST)")</f>
        <v>Diaw 24' 3PT Jump Shot (9 PTS) (Leonard 3 AST)</v>
      </c>
      <c r="L1992" s="2" t="str">
        <f>HYPERLINK("https://www.nba.com/game/...-vs-...-0021500928/play-by-play?watchFullGame=true", "SAS vs SAC - Q2 03:59.00")</f>
        <v>SAS vs SAC - Q2 03:59.00</v>
      </c>
      <c r="M1992">
        <v>24</v>
      </c>
      <c r="N1992">
        <v>132</v>
      </c>
      <c r="O1992">
        <v>203</v>
      </c>
      <c r="P1992">
        <v>132</v>
      </c>
      <c r="Q1992">
        <v>203</v>
      </c>
      <c r="R1992" t="s">
        <v>0</v>
      </c>
      <c r="S1992" t="s">
        <v>0</v>
      </c>
      <c r="T1992" t="s">
        <v>0</v>
      </c>
    </row>
    <row r="1993" spans="1:20" x14ac:dyDescent="0.25">
      <c r="A1993">
        <v>21500934</v>
      </c>
      <c r="B1993" t="s">
        <v>4</v>
      </c>
      <c r="C1993" t="s">
        <v>37</v>
      </c>
      <c r="D1993">
        <v>67</v>
      </c>
      <c r="E1993">
        <v>78</v>
      </c>
      <c r="F1993">
        <v>11</v>
      </c>
      <c r="G1993">
        <v>3</v>
      </c>
      <c r="H1993" s="1">
        <v>2.3842592592592591E-3</v>
      </c>
      <c r="I1993">
        <v>2015</v>
      </c>
      <c r="J1993" t="s">
        <v>12</v>
      </c>
      <c r="K1993" s="2" t="str">
        <f>HYPERLINK("https://www.nba.com/stats/events?CFID=&amp;CFPARAMS=&amp;GameEventID=343&amp;GameID=0021500934&amp;Season=2015-16&amp;flag=1&amp;title=Henderson%20%20Driving%20Dunk%20(2%20PTS)%20(Leonard%201%20AST)", "Henderson  Driving Dunk (2 PTS) (Leonard 1 AST)")</f>
        <v>Henderson  Driving Dunk (2 PTS) (Leonard 1 AST)</v>
      </c>
      <c r="L1993" s="2" t="str">
        <f>HYPERLINK("https://www.nba.com/game/...-vs-...-0021500934/play-by-play?watchFullGame=true", "POR vs DET - Q3 03:26.00")</f>
        <v>POR vs DET - Q3 03:26.00</v>
      </c>
      <c r="M1993">
        <v>0</v>
      </c>
      <c r="N1993">
        <v>0</v>
      </c>
      <c r="O1993">
        <v>1</v>
      </c>
      <c r="P1993">
        <v>0</v>
      </c>
      <c r="Q1993">
        <v>1</v>
      </c>
      <c r="R1993" t="s">
        <v>0</v>
      </c>
      <c r="S1993" t="s">
        <v>0</v>
      </c>
      <c r="T1993" t="s">
        <v>0</v>
      </c>
    </row>
    <row r="1994" spans="1:20" x14ac:dyDescent="0.25">
      <c r="A1994">
        <v>21500948</v>
      </c>
      <c r="B1994" t="s">
        <v>4</v>
      </c>
      <c r="C1994" t="s">
        <v>19</v>
      </c>
      <c r="D1994">
        <v>27</v>
      </c>
      <c r="E1994">
        <v>20</v>
      </c>
      <c r="F1994">
        <v>7</v>
      </c>
      <c r="G1994">
        <v>1</v>
      </c>
      <c r="H1994" s="1">
        <v>1.5162037037037036E-3</v>
      </c>
      <c r="I1994">
        <v>2015</v>
      </c>
      <c r="J1994" t="s">
        <v>12</v>
      </c>
      <c r="K1994" s="2" t="str">
        <f>HYPERLINK("https://www.nba.com/stats/events?CFID=&amp;CFPARAMS=&amp;GameEventID=90&amp;GameID=0021500948&amp;Season=2015-16&amp;flag=1&amp;title=Crabbe%2018'%20Pullup%20Jump%20Shot%20(2%20PTS)%20(Leonard%202%20AST)", "Crabbe 18' Pullup Jump Shot (2 PTS) (Leonard 2 AST)")</f>
        <v>Crabbe 18' Pullup Jump Shot (2 PTS) (Leonard 2 AST)</v>
      </c>
      <c r="L1994" s="2" t="str">
        <f>HYPERLINK("https://www.nba.com/game/...-vs-...-0021500948/play-by-play?watchFullGame=true", "POR vs WAS - Q1 02:11.00")</f>
        <v>POR vs WAS - Q1 02:11.00</v>
      </c>
      <c r="M1994">
        <v>18</v>
      </c>
      <c r="N1994">
        <v>176</v>
      </c>
      <c r="O1994">
        <v>7</v>
      </c>
      <c r="P1994">
        <v>176</v>
      </c>
      <c r="Q1994">
        <v>7</v>
      </c>
      <c r="R1994" t="s">
        <v>0</v>
      </c>
      <c r="S1994" t="s">
        <v>0</v>
      </c>
      <c r="T1994" t="s">
        <v>0</v>
      </c>
    </row>
    <row r="1995" spans="1:20" x14ac:dyDescent="0.25">
      <c r="A1995">
        <v>21501036</v>
      </c>
      <c r="B1995" t="s">
        <v>4</v>
      </c>
      <c r="C1995" t="s">
        <v>5</v>
      </c>
      <c r="D1995">
        <v>33</v>
      </c>
      <c r="E1995">
        <v>26</v>
      </c>
      <c r="F1995">
        <v>7</v>
      </c>
      <c r="G1995">
        <v>2</v>
      </c>
      <c r="H1995" s="1">
        <v>3.6342592592592594E-3</v>
      </c>
      <c r="I1995">
        <v>2015</v>
      </c>
      <c r="J1995" t="s">
        <v>7</v>
      </c>
      <c r="K1995" s="2" t="str">
        <f>HYPERLINK("https://www.nba.com/stats/events?CFID=&amp;CFPARAMS=&amp;GameEventID=193&amp;GameID=0021501036&amp;Season=2015-16&amp;flag=1&amp;title=Aldridge%201'%20Layup%20(12%20PTS)%20(Leonard%202%20AST)", "Aldridge 1' Layup (12 PTS) (Leonard 2 AST)")</f>
        <v>Aldridge 1' Layup (12 PTS) (Leonard 2 AST)</v>
      </c>
      <c r="L1995" s="2" t="str">
        <f>HYPERLINK("https://www.nba.com/game/...-vs-...-0021501036/play-by-play?watchFullGame=true", "SAS vs GSW - Q2 05:14.00")</f>
        <v>SAS vs GSW - Q2 05:14.00</v>
      </c>
      <c r="M1995">
        <v>1</v>
      </c>
      <c r="N1995">
        <v>2</v>
      </c>
      <c r="O1995">
        <v>-5</v>
      </c>
      <c r="P1995">
        <v>2</v>
      </c>
      <c r="Q1995">
        <v>-5</v>
      </c>
      <c r="R1995" t="s">
        <v>0</v>
      </c>
      <c r="S1995" t="s">
        <v>0</v>
      </c>
      <c r="T1995" t="s">
        <v>0</v>
      </c>
    </row>
    <row r="1996" spans="1:20" x14ac:dyDescent="0.25">
      <c r="A1996">
        <v>21501201</v>
      </c>
      <c r="B1996" t="s">
        <v>4</v>
      </c>
      <c r="C1996" t="s">
        <v>19</v>
      </c>
      <c r="D1996">
        <v>71</v>
      </c>
      <c r="E1996">
        <v>76</v>
      </c>
      <c r="F1996">
        <v>5</v>
      </c>
      <c r="G1996">
        <v>4</v>
      </c>
      <c r="H1996" s="1">
        <v>4.6296296296296294E-3</v>
      </c>
      <c r="I1996">
        <v>2015</v>
      </c>
      <c r="J1996" t="s">
        <v>7</v>
      </c>
      <c r="K1996" s="2" t="str">
        <f>HYPERLINK("https://www.nba.com/stats/events?CFID=&amp;CFPARAMS=&amp;GameEventID=455&amp;GameID=0021501201&amp;Season=2015-16&amp;flag=1&amp;title=Martin%2017'%20Pullup%20Jump%20Shot%20(7%20PTS)%20(Leonard%204%20AST)", "Martin 17' Pullup Jump Shot (7 PTS) (Leonard 4 AST)")</f>
        <v>Martin 17' Pullup Jump Shot (7 PTS) (Leonard 4 AST)</v>
      </c>
      <c r="L1996" s="2" t="str">
        <f>HYPERLINK("https://www.nba.com/game/...-vs-...-0021501201/play-by-play?watchFullGame=true", "SAS vs GSW - Q4 06:40.00")</f>
        <v>SAS vs GSW - Q4 06:40.00</v>
      </c>
      <c r="M1996">
        <v>17</v>
      </c>
      <c r="N1996">
        <v>-37</v>
      </c>
      <c r="O1996">
        <v>169</v>
      </c>
      <c r="P1996">
        <v>-37</v>
      </c>
      <c r="Q1996">
        <v>169</v>
      </c>
      <c r="R1996" t="s">
        <v>0</v>
      </c>
      <c r="S1996" t="s">
        <v>0</v>
      </c>
      <c r="T1996" t="s">
        <v>0</v>
      </c>
    </row>
    <row r="1997" spans="1:20" x14ac:dyDescent="0.25">
      <c r="A1997">
        <v>21501215</v>
      </c>
      <c r="B1997" t="s">
        <v>4</v>
      </c>
      <c r="C1997" t="s">
        <v>34</v>
      </c>
      <c r="D1997">
        <v>11</v>
      </c>
      <c r="E1997">
        <v>11</v>
      </c>
      <c r="F1997">
        <v>0</v>
      </c>
      <c r="G1997">
        <v>1</v>
      </c>
      <c r="H1997" s="1">
        <v>4.8032407407407407E-3</v>
      </c>
      <c r="I1997">
        <v>2015</v>
      </c>
      <c r="J1997" t="s">
        <v>7</v>
      </c>
      <c r="K1997" s="2" t="str">
        <f>HYPERLINK("https://www.nba.com/stats/events?CFID=&amp;CFPARAMS=&amp;GameEventID=42&amp;GameID=0021501215&amp;Season=2015-16&amp;flag=1&amp;title=Aldridge%207'%20Driving%20Hook%20Shot%20(2%20PTS)%20(Leonard%202%20AST)", "Aldridge 7' Driving Hook Shot (2 PTS) (Leonard 2 AST)")</f>
        <v>Aldridge 7' Driving Hook Shot (2 PTS) (Leonard 2 AST)</v>
      </c>
      <c r="L1997" s="2" t="str">
        <f>HYPERLINK("https://www.nba.com/game/...-vs-...-0021501215/play-by-play?watchFullGame=true", "SAS vs OKC - Q1 06:55.00")</f>
        <v>SAS vs OKC - Q1 06:55.00</v>
      </c>
      <c r="M1997">
        <v>7</v>
      </c>
      <c r="N1997">
        <v>1</v>
      </c>
      <c r="O1997">
        <v>65</v>
      </c>
      <c r="P1997">
        <v>1</v>
      </c>
      <c r="Q1997">
        <v>65</v>
      </c>
      <c r="R1997" t="s">
        <v>0</v>
      </c>
      <c r="S1997" t="s">
        <v>0</v>
      </c>
      <c r="T1997" t="s">
        <v>0</v>
      </c>
    </row>
    <row r="1998" spans="1:20" x14ac:dyDescent="0.25">
      <c r="A1998">
        <v>21600016</v>
      </c>
      <c r="B1998" t="s">
        <v>4</v>
      </c>
      <c r="C1998" t="s">
        <v>5</v>
      </c>
      <c r="D1998">
        <v>78</v>
      </c>
      <c r="E1998">
        <v>71</v>
      </c>
      <c r="F1998">
        <v>7</v>
      </c>
      <c r="G1998">
        <v>4</v>
      </c>
      <c r="H1998" s="1">
        <v>8.0324074074074082E-3</v>
      </c>
      <c r="I1998">
        <v>2016</v>
      </c>
      <c r="J1998" t="s">
        <v>7</v>
      </c>
      <c r="K1998" s="2" t="str">
        <f>HYPERLINK("https://www.nba.com/stats/events?CFID=&amp;CFPARAMS=&amp;GameEventID=419&amp;GameID=0021600016&amp;Season=2016-17&amp;flag=1&amp;title=Simmons%202'%20Layup%20(5%20PTS)%20(Leonard%205%20AST)", "Simmons 2' Layup (5 PTS) (Leonard 5 AST)")</f>
        <v>Simmons 2' Layup (5 PTS) (Leonard 5 AST)</v>
      </c>
      <c r="L1998" s="2" t="str">
        <f>HYPERLINK("https://www.nba.com/game/...-vs-...-0021600016/play-by-play?watchFullGame=true", "SAS vs SAC - Q4 11:34.00")</f>
        <v>SAS vs SAC - Q4 11:34.00</v>
      </c>
      <c r="M1998">
        <v>2</v>
      </c>
      <c r="N1998">
        <v>14</v>
      </c>
      <c r="O1998">
        <v>11</v>
      </c>
      <c r="P1998">
        <v>14</v>
      </c>
      <c r="Q1998">
        <v>11</v>
      </c>
      <c r="R1998" t="s">
        <v>0</v>
      </c>
      <c r="S1998" t="s">
        <v>0</v>
      </c>
      <c r="T1998" t="s">
        <v>0</v>
      </c>
    </row>
    <row r="1999" spans="1:20" x14ac:dyDescent="0.25">
      <c r="A1999">
        <v>21600053</v>
      </c>
      <c r="B1999" t="s">
        <v>4</v>
      </c>
      <c r="C1999" t="s">
        <v>5</v>
      </c>
      <c r="D1999">
        <v>88</v>
      </c>
      <c r="E1999">
        <v>91</v>
      </c>
      <c r="F1999">
        <v>3</v>
      </c>
      <c r="G1999">
        <v>4</v>
      </c>
      <c r="H1999" s="1">
        <v>3.2407407407407406E-3</v>
      </c>
      <c r="I1999">
        <v>2016</v>
      </c>
      <c r="J1999" t="s">
        <v>7</v>
      </c>
      <c r="K1999" s="2" t="str">
        <f>HYPERLINK("https://www.nba.com/stats/events?CFID=&amp;CFPARAMS=&amp;GameEventID=427&amp;GameID=0021600053&amp;Season=2016-17&amp;flag=1&amp;title=Gasol%202'%20Layup%20(8%20PTS)%20(Leonard%202%20AST)", "Gasol 2' Layup (8 PTS) (Leonard 2 AST)")</f>
        <v>Gasol 2' Layup (8 PTS) (Leonard 2 AST)</v>
      </c>
      <c r="L1999" s="2" t="str">
        <f>HYPERLINK("https://www.nba.com/game/...-vs-...-0021600053/play-by-play?watchFullGame=true", "SAS vs UTA - Q4 04:40.00")</f>
        <v>SAS vs UTA - Q4 04:40.00</v>
      </c>
      <c r="M1999">
        <v>2</v>
      </c>
      <c r="N1999">
        <v>14</v>
      </c>
      <c r="O1999">
        <v>7</v>
      </c>
      <c r="P1999">
        <v>14</v>
      </c>
      <c r="Q1999">
        <v>7</v>
      </c>
      <c r="R1999" t="s">
        <v>0</v>
      </c>
      <c r="S1999" t="s">
        <v>0</v>
      </c>
      <c r="T1999" t="s">
        <v>0</v>
      </c>
    </row>
    <row r="2000" spans="1:20" x14ac:dyDescent="0.25">
      <c r="A2000">
        <v>21800602</v>
      </c>
      <c r="B2000" t="s">
        <v>4</v>
      </c>
      <c r="C2000" t="s">
        <v>37</v>
      </c>
      <c r="D2000">
        <v>48</v>
      </c>
      <c r="E2000">
        <v>51</v>
      </c>
      <c r="F2000">
        <v>3</v>
      </c>
      <c r="G2000">
        <v>2</v>
      </c>
      <c r="H2000" s="1">
        <v>2.5000000000000001E-3</v>
      </c>
      <c r="I2000">
        <v>2018</v>
      </c>
      <c r="J2000" t="s">
        <v>1</v>
      </c>
      <c r="K2000" s="2" t="str">
        <f>HYPERLINK("https://www.nba.com/stats/events?CFID=&amp;CFPARAMS=&amp;GameEventID=300&amp;GameID=0021800602&amp;Season=2018-19&amp;flag=1&amp;title=Anunoby%201'%20Driving%20Dunk%20(7%20PTS)%20(Leonard%203%20AST)", "Anunoby 1' Driving Dunk (7 PTS) (Leonard 3 AST)")</f>
        <v>Anunoby 1' Driving Dunk (7 PTS) (Leonard 3 AST)</v>
      </c>
      <c r="L2000" s="2" t="str">
        <f>HYPERLINK("https://www.nba.com/game/...-vs-...-0021800602/play-by-play?watchFullGame=true", "TOR vs ATL - Q2 03:36.00")</f>
        <v>TOR vs ATL - Q2 03:36.00</v>
      </c>
      <c r="M2000">
        <v>1</v>
      </c>
      <c r="N2000">
        <v>-2</v>
      </c>
      <c r="O2000">
        <v>12</v>
      </c>
      <c r="P2000">
        <v>-2</v>
      </c>
      <c r="Q2000">
        <v>12</v>
      </c>
      <c r="R2000" t="s">
        <v>0</v>
      </c>
      <c r="S2000" t="s">
        <v>0</v>
      </c>
      <c r="T2000" t="s">
        <v>0</v>
      </c>
    </row>
    <row r="2001" spans="1:20" x14ac:dyDescent="0.25">
      <c r="A2001">
        <v>21800789</v>
      </c>
      <c r="B2001" t="s">
        <v>4</v>
      </c>
      <c r="C2001" t="s">
        <v>23</v>
      </c>
      <c r="D2001">
        <v>2</v>
      </c>
      <c r="E2001">
        <v>2</v>
      </c>
      <c r="F2001">
        <v>0</v>
      </c>
      <c r="G2001">
        <v>1</v>
      </c>
      <c r="H2001" s="1">
        <v>7.4074074074074077E-3</v>
      </c>
      <c r="I2001">
        <v>2018</v>
      </c>
      <c r="J2001" t="s">
        <v>1</v>
      </c>
      <c r="K2001" s="2" t="str">
        <f>HYPERLINK("https://www.nba.com/stats/events?CFID=&amp;CFPARAMS=&amp;GameEventID=15&amp;GameID=0021800789&amp;Season=2018-19&amp;flag=1&amp;title=Ibaka%201'%20Driving%20Layup%20(2%20PTS)%20(Leonard%201%20AST)", "Ibaka 1' Driving Layup (2 PTS) (Leonard 1 AST)")</f>
        <v>Ibaka 1' Driving Layup (2 PTS) (Leonard 1 AST)</v>
      </c>
      <c r="L2001" s="2" t="str">
        <f>HYPERLINK("https://www.nba.com/game/...-vs-...-0021800789/play-by-play?watchFullGame=true", "TOR vs LAC - Q1 10:40.00")</f>
        <v>TOR vs LAC - Q1 10:40.00</v>
      </c>
      <c r="M2001">
        <v>1</v>
      </c>
      <c r="N2001">
        <v>-7</v>
      </c>
      <c r="O2001">
        <v>11</v>
      </c>
      <c r="P2001">
        <v>-7</v>
      </c>
      <c r="Q2001">
        <v>11</v>
      </c>
      <c r="R2001" t="s">
        <v>0</v>
      </c>
      <c r="S2001" t="s">
        <v>0</v>
      </c>
      <c r="T2001" t="s">
        <v>0</v>
      </c>
    </row>
    <row r="2002" spans="1:20" x14ac:dyDescent="0.25">
      <c r="A2002">
        <v>21800803</v>
      </c>
      <c r="B2002" t="s">
        <v>10</v>
      </c>
      <c r="C2002" t="s">
        <v>9</v>
      </c>
      <c r="D2002">
        <v>96</v>
      </c>
      <c r="E2002">
        <v>99</v>
      </c>
      <c r="F2002">
        <v>3</v>
      </c>
      <c r="G2002">
        <v>4</v>
      </c>
      <c r="H2002" s="1">
        <v>5.37037037037037E-3</v>
      </c>
      <c r="I2002">
        <v>2018</v>
      </c>
      <c r="J2002" t="s">
        <v>12</v>
      </c>
      <c r="K2002" s="2" t="str">
        <f>HYPERLINK("https://www.nba.com/stats/events?CFID=&amp;CFPARAMS=&amp;GameEventID=502&amp;GameID=0021800803&amp;Season=2018-19&amp;flag=1&amp;title=McCollum%2024'%203PT%20Jump%20Shot%20(28%20PTS)%20(Leonard%203%20AST)", "McCollum 24' 3PT Jump Shot (28 PTS) (Leonard 3 AST)")</f>
        <v>McCollum 24' 3PT Jump Shot (28 PTS) (Leonard 3 AST)</v>
      </c>
      <c r="L2002" s="2" t="str">
        <f>HYPERLINK("https://www.nba.com/game/...-vs-...-0021800803/play-by-play?watchFullGame=true", "POR vs MIA - Q4 07:44.00")</f>
        <v>POR vs MIA - Q4 07:44.00</v>
      </c>
      <c r="M2002">
        <v>24</v>
      </c>
      <c r="N2002">
        <v>-176</v>
      </c>
      <c r="O2002">
        <v>164</v>
      </c>
      <c r="P2002">
        <v>-176</v>
      </c>
      <c r="Q2002">
        <v>164</v>
      </c>
      <c r="R2002" t="s">
        <v>0</v>
      </c>
      <c r="S2002" t="s">
        <v>0</v>
      </c>
      <c r="T2002" t="s">
        <v>0</v>
      </c>
    </row>
    <row r="2003" spans="1:20" x14ac:dyDescent="0.25">
      <c r="A2003">
        <v>21800828</v>
      </c>
      <c r="B2003" t="s">
        <v>10</v>
      </c>
      <c r="C2003" t="s">
        <v>9</v>
      </c>
      <c r="D2003">
        <v>67</v>
      </c>
      <c r="E2003">
        <v>58</v>
      </c>
      <c r="F2003">
        <v>9</v>
      </c>
      <c r="G2003">
        <v>3</v>
      </c>
      <c r="H2003" s="1">
        <v>3.1597222222222222E-3</v>
      </c>
      <c r="I2003">
        <v>2018</v>
      </c>
      <c r="J2003" t="s">
        <v>1</v>
      </c>
      <c r="K2003" s="2" t="str">
        <f>HYPERLINK("https://www.nba.com/stats/events?CFID=&amp;CFPARAMS=&amp;GameEventID=431&amp;GameID=0021800828&amp;Season=2018-19&amp;flag=1&amp;title=Lowry%2027'%203PT%20Jump%20Shot%20(14%20PTS)%20(Leonard%205%20AST)", "Lowry 27' 3PT Jump Shot (14 PTS) (Leonard 5 AST)")</f>
        <v>Lowry 27' 3PT Jump Shot (14 PTS) (Leonard 5 AST)</v>
      </c>
      <c r="L2003" s="2" t="str">
        <f>HYPERLINK("https://www.nba.com/game/...-vs-...-0021800828/play-by-play?watchFullGame=true", "TOR vs NYK - Q3 04:33.00")</f>
        <v>TOR vs NYK - Q3 04:33.00</v>
      </c>
      <c r="M2003">
        <v>27</v>
      </c>
      <c r="N2003">
        <v>-52</v>
      </c>
      <c r="O2003">
        <v>270</v>
      </c>
      <c r="P2003">
        <v>-52</v>
      </c>
      <c r="Q2003">
        <v>270</v>
      </c>
      <c r="R2003" t="s">
        <v>0</v>
      </c>
      <c r="S2003" t="s">
        <v>0</v>
      </c>
      <c r="T2003" t="s">
        <v>0</v>
      </c>
    </row>
    <row r="2004" spans="1:20" x14ac:dyDescent="0.25">
      <c r="A2004">
        <v>21801098</v>
      </c>
      <c r="B2004" t="s">
        <v>4</v>
      </c>
      <c r="C2004" t="s">
        <v>29</v>
      </c>
      <c r="D2004">
        <v>14</v>
      </c>
      <c r="E2004">
        <v>9</v>
      </c>
      <c r="F2004">
        <v>5</v>
      </c>
      <c r="G2004">
        <v>1</v>
      </c>
      <c r="H2004" s="1">
        <v>5.37037037037037E-3</v>
      </c>
      <c r="I2004">
        <v>2018</v>
      </c>
      <c r="J2004" t="s">
        <v>1</v>
      </c>
      <c r="K2004" s="2" t="str">
        <f>HYPERLINK("https://www.nba.com/stats/events?CFID=&amp;CFPARAMS=&amp;GameEventID=51&amp;GameID=0021801098&amp;Season=2018-19&amp;flag=1&amp;title=Siakam%2012'%20Driving%20Floating%20Jump%20Shot%20(9%20PTS)%20(Leonard%201%20AST)", "Siakam 12' Driving Floating Jump Shot (9 PTS) (Leonard 1 AST)")</f>
        <v>Siakam 12' Driving Floating Jump Shot (9 PTS) (Leonard 1 AST)</v>
      </c>
      <c r="L2004" s="2" t="str">
        <f>HYPERLINK("https://www.nba.com/game/...-vs-...-0021801098/play-by-play?watchFullGame=true", "TOR vs CHA - Q1 07:44.00")</f>
        <v>TOR vs CHA - Q1 07:44.00</v>
      </c>
      <c r="M2004">
        <v>12</v>
      </c>
      <c r="N2004">
        <v>118</v>
      </c>
      <c r="O2004">
        <v>5</v>
      </c>
      <c r="P2004">
        <v>118</v>
      </c>
      <c r="Q2004">
        <v>5</v>
      </c>
      <c r="R2004" t="s">
        <v>0</v>
      </c>
      <c r="S2004" t="s">
        <v>0</v>
      </c>
      <c r="T2004" t="s">
        <v>0</v>
      </c>
    </row>
    <row r="2005" spans="1:20" x14ac:dyDescent="0.25">
      <c r="A2005">
        <v>21801110</v>
      </c>
      <c r="B2005" t="s">
        <v>4</v>
      </c>
      <c r="C2005" t="s">
        <v>17</v>
      </c>
      <c r="D2005">
        <v>18</v>
      </c>
      <c r="E2005">
        <v>10</v>
      </c>
      <c r="F2005">
        <v>8</v>
      </c>
      <c r="G2005">
        <v>1</v>
      </c>
      <c r="H2005" s="1">
        <v>2.7314814814814814E-3</v>
      </c>
      <c r="I2005">
        <v>2018</v>
      </c>
      <c r="J2005" t="s">
        <v>1</v>
      </c>
      <c r="K2005" s="2" t="str">
        <f>HYPERLINK("https://www.nba.com/stats/events?CFID=&amp;CFPARAMS=&amp;GameEventID=95&amp;GameID=0021801110&amp;Season=2018-19&amp;flag=1&amp;title=Ibaka%2012'%20Floating%20Jump%20Shot%20(2%20PTS)%20(Leonard%203%20AST)", "Ibaka 12' Floating Jump Shot (2 PTS) (Leonard 3 AST)")</f>
        <v>Ibaka 12' Floating Jump Shot (2 PTS) (Leonard 3 AST)</v>
      </c>
      <c r="L2005" s="2" t="str">
        <f>HYPERLINK("https://www.nba.com/game/...-vs-...-0021801110/play-by-play?watchFullGame=true", "TOR vs CHI - Q1 03:56.00")</f>
        <v>TOR vs CHI - Q1 03:56.00</v>
      </c>
      <c r="M2005">
        <v>12</v>
      </c>
      <c r="N2005">
        <v>41</v>
      </c>
      <c r="O2005">
        <v>115</v>
      </c>
      <c r="P2005">
        <v>41</v>
      </c>
      <c r="Q2005">
        <v>115</v>
      </c>
      <c r="R2005" t="s">
        <v>0</v>
      </c>
      <c r="S2005" t="s">
        <v>0</v>
      </c>
      <c r="T2005" t="s">
        <v>0</v>
      </c>
    </row>
    <row r="2006" spans="1:20" x14ac:dyDescent="0.25">
      <c r="A2006">
        <v>21801156</v>
      </c>
      <c r="B2006" t="s">
        <v>10</v>
      </c>
      <c r="C2006" t="s">
        <v>9</v>
      </c>
      <c r="D2006">
        <v>21</v>
      </c>
      <c r="E2006">
        <v>27</v>
      </c>
      <c r="F2006">
        <v>6</v>
      </c>
      <c r="G2006">
        <v>1</v>
      </c>
      <c r="H2006" s="1">
        <v>2.9861111111111113E-3</v>
      </c>
      <c r="I2006">
        <v>2018</v>
      </c>
      <c r="J2006" t="s">
        <v>1</v>
      </c>
      <c r="K2006" s="2" t="str">
        <f>HYPERLINK("https://www.nba.com/stats/events?CFID=&amp;CFPARAMS=&amp;GameEventID=92&amp;GameID=0021801156&amp;Season=2018-19&amp;flag=1&amp;title=Lowry%2024'%203PT%20Jump%20Shot%20(3%20PTS)%20(Leonard%203%20AST)", "Lowry 24' 3PT Jump Shot (3 PTS) (Leonard 3 AST)")</f>
        <v>Lowry 24' 3PT Jump Shot (3 PTS) (Leonard 3 AST)</v>
      </c>
      <c r="L2006" s="2" t="str">
        <f>HYPERLINK("https://www.nba.com/game/...-vs-...-0021801156/play-by-play?watchFullGame=true", "TOR vs ORL - Q1 04:18.00")</f>
        <v>TOR vs ORL - Q1 04:18.00</v>
      </c>
      <c r="M2006">
        <v>24</v>
      </c>
      <c r="N2006">
        <v>-240</v>
      </c>
      <c r="O2006">
        <v>8</v>
      </c>
      <c r="P2006">
        <v>-240</v>
      </c>
      <c r="Q2006">
        <v>8</v>
      </c>
      <c r="R2006" t="s">
        <v>0</v>
      </c>
      <c r="S2006" t="s">
        <v>0</v>
      </c>
      <c r="T2006" t="s">
        <v>0</v>
      </c>
    </row>
    <row r="2007" spans="1:20" x14ac:dyDescent="0.25">
      <c r="A2007">
        <v>21600032</v>
      </c>
      <c r="B2007" t="s">
        <v>10</v>
      </c>
      <c r="C2007" t="s">
        <v>9</v>
      </c>
      <c r="D2007">
        <v>18</v>
      </c>
      <c r="E2007">
        <v>14</v>
      </c>
      <c r="F2007">
        <v>4</v>
      </c>
      <c r="G2007">
        <v>1</v>
      </c>
      <c r="H2007" s="1">
        <v>3.2175925925925926E-3</v>
      </c>
      <c r="I2007">
        <v>2016</v>
      </c>
      <c r="J2007" t="s">
        <v>7</v>
      </c>
      <c r="K2007" s="2" t="str">
        <f>HYPERLINK("https://www.nba.com/stats/events?CFID=&amp;CFPARAMS=&amp;GameEventID=62&amp;GameID=0021600032&amp;Season=2016-17&amp;flag=1&amp;title=Aldridge%2025'%203PT%20Jump%20Shot%20(6%20PTS)%20(Leonard%201%20AST)", "Aldridge 25' 3PT Jump Shot (6 PTS) (Leonard 1 AST)")</f>
        <v>Aldridge 25' 3PT Jump Shot (6 PTS) (Leonard 1 AST)</v>
      </c>
      <c r="L2007" s="2" t="str">
        <f>HYPERLINK("https://www.nba.com/game/...-vs-...-0021600032/play-by-play?watchFullGame=true", "SAS vs NOP - Q1 04:38.00")</f>
        <v>SAS vs NOP - Q1 04:38.00</v>
      </c>
      <c r="M2007">
        <v>25</v>
      </c>
      <c r="N2007">
        <v>-25</v>
      </c>
      <c r="O2007">
        <v>247</v>
      </c>
      <c r="P2007">
        <v>-25</v>
      </c>
      <c r="Q2007">
        <v>247</v>
      </c>
      <c r="R2007" t="s">
        <v>0</v>
      </c>
      <c r="S2007" t="s">
        <v>0</v>
      </c>
      <c r="T2007" t="s">
        <v>0</v>
      </c>
    </row>
    <row r="2008" spans="1:20" x14ac:dyDescent="0.25">
      <c r="A2008">
        <v>21600077</v>
      </c>
      <c r="B2008" t="s">
        <v>4</v>
      </c>
      <c r="C2008" t="s">
        <v>6</v>
      </c>
      <c r="D2008">
        <v>75</v>
      </c>
      <c r="E2008">
        <v>61</v>
      </c>
      <c r="F2008">
        <v>14</v>
      </c>
      <c r="G2008">
        <v>3</v>
      </c>
      <c r="H2008" s="1">
        <v>2.5462962962962965E-3</v>
      </c>
      <c r="I2008">
        <v>2016</v>
      </c>
      <c r="J2008" t="s">
        <v>7</v>
      </c>
      <c r="K2008" s="2" t="str">
        <f>HYPERLINK("https://www.nba.com/stats/events?CFID=&amp;CFPARAMS=&amp;GameEventID=338&amp;GameID=0021600077&amp;Season=2016-17&amp;flag=1&amp;title=Aldridge%20%20Cutting%20Dunk%20Shot%20(13%20PTS)%20(Leonard%203%20AST)", "Aldridge  Cutting Dunk Shot (13 PTS) (Leonard 3 AST)")</f>
        <v>Aldridge  Cutting Dunk Shot (13 PTS) (Leonard 3 AST)</v>
      </c>
      <c r="L2008" s="2" t="str">
        <f>HYPERLINK("https://www.nba.com/game/...-vs-...-0021600077/play-by-play?watchFullGame=true", "SAS vs UTA - Q3 03:40.00")</f>
        <v>SAS vs UTA - Q3 03:40.00</v>
      </c>
      <c r="M2008">
        <v>0</v>
      </c>
      <c r="N2008">
        <v>0</v>
      </c>
      <c r="O2008">
        <v>1</v>
      </c>
      <c r="P2008">
        <v>0</v>
      </c>
      <c r="Q2008">
        <v>1</v>
      </c>
      <c r="R2008" t="s">
        <v>0</v>
      </c>
      <c r="S2008" t="s">
        <v>0</v>
      </c>
      <c r="T2008" t="s">
        <v>0</v>
      </c>
    </row>
    <row r="2009" spans="1:20" x14ac:dyDescent="0.25">
      <c r="A2009">
        <v>21600150</v>
      </c>
      <c r="B2009" t="s">
        <v>4</v>
      </c>
      <c r="C2009" t="s">
        <v>9</v>
      </c>
      <c r="D2009">
        <v>4</v>
      </c>
      <c r="E2009">
        <v>4</v>
      </c>
      <c r="F2009">
        <v>0</v>
      </c>
      <c r="G2009">
        <v>1</v>
      </c>
      <c r="H2009" s="1">
        <v>6.5393518518518517E-3</v>
      </c>
      <c r="I2009">
        <v>2016</v>
      </c>
      <c r="J2009" t="s">
        <v>7</v>
      </c>
      <c r="K2009" s="2" t="str">
        <f>HYPERLINK("https://www.nba.com/stats/events?CFID=&amp;CFPARAMS=&amp;GameEventID=17&amp;GameID=0021600150&amp;Season=2016-17&amp;flag=1&amp;title=Aldridge%2016'%20Jump%20Shot%20(2%20PTS)%20(Leonard%202%20AST)", "Aldridge 16' Jump Shot (2 PTS) (Leonard 2 AST)")</f>
        <v>Aldridge 16' Jump Shot (2 PTS) (Leonard 2 AST)</v>
      </c>
      <c r="L2009" s="2" t="str">
        <f>HYPERLINK("https://www.nba.com/game/...-vs-...-0021600150/play-by-play?watchFullGame=true", "SAS vs MIA - Q1 09:25.00")</f>
        <v>SAS vs MIA - Q1 09:25.00</v>
      </c>
      <c r="M2009">
        <v>16</v>
      </c>
      <c r="N2009">
        <v>156</v>
      </c>
      <c r="O2009">
        <v>3</v>
      </c>
      <c r="P2009">
        <v>156</v>
      </c>
      <c r="Q2009">
        <v>3</v>
      </c>
      <c r="R2009" t="s">
        <v>0</v>
      </c>
      <c r="S2009" t="s">
        <v>0</v>
      </c>
      <c r="T2009" t="s">
        <v>0</v>
      </c>
    </row>
    <row r="2010" spans="1:20" x14ac:dyDescent="0.25">
      <c r="A2010">
        <v>21600182</v>
      </c>
      <c r="B2010" t="s">
        <v>10</v>
      </c>
      <c r="C2010" t="s">
        <v>9</v>
      </c>
      <c r="D2010">
        <v>14</v>
      </c>
      <c r="E2010">
        <v>8</v>
      </c>
      <c r="F2010">
        <v>6</v>
      </c>
      <c r="G2010">
        <v>1</v>
      </c>
      <c r="H2010" s="1">
        <v>3.8425925925925928E-3</v>
      </c>
      <c r="I2010">
        <v>2016</v>
      </c>
      <c r="J2010" t="s">
        <v>7</v>
      </c>
      <c r="K2010" s="2" t="str">
        <f>HYPERLINK("https://www.nba.com/stats/events?CFID=&amp;CFPARAMS=&amp;GameEventID=63&amp;GameID=0021600182&amp;Season=2016-17&amp;flag=1&amp;title=Green%2025'%203PT%20Jump%20Shot%20(8%20PTS)%20(Leonard%202%20AST)", "Green 25' 3PT Jump Shot (8 PTS) (Leonard 2 AST)")</f>
        <v>Green 25' 3PT Jump Shot (8 PTS) (Leonard 2 AST)</v>
      </c>
      <c r="L2010" s="2" t="str">
        <f>HYPERLINK("https://www.nba.com/game/...-vs-...-0021600182/play-by-play?watchFullGame=true", "SAS vs LAL - Q1 05:32.00")</f>
        <v>SAS vs LAL - Q1 05:32.00</v>
      </c>
      <c r="M2010">
        <v>25</v>
      </c>
      <c r="N2010">
        <v>165</v>
      </c>
      <c r="O2010">
        <v>187</v>
      </c>
      <c r="P2010">
        <v>165</v>
      </c>
      <c r="Q2010">
        <v>187</v>
      </c>
      <c r="R2010" t="s">
        <v>0</v>
      </c>
      <c r="S2010" t="s">
        <v>0</v>
      </c>
      <c r="T2010" t="s">
        <v>0</v>
      </c>
    </row>
    <row r="2011" spans="1:20" x14ac:dyDescent="0.25">
      <c r="A2011">
        <v>21600336</v>
      </c>
      <c r="B2011" t="s">
        <v>10</v>
      </c>
      <c r="C2011" t="s">
        <v>9</v>
      </c>
      <c r="D2011">
        <v>15</v>
      </c>
      <c r="E2011">
        <v>19</v>
      </c>
      <c r="F2011">
        <v>4</v>
      </c>
      <c r="G2011">
        <v>1</v>
      </c>
      <c r="H2011" s="1">
        <v>1.8055555555555555E-3</v>
      </c>
      <c r="I2011">
        <v>2016</v>
      </c>
      <c r="J2011" t="s">
        <v>7</v>
      </c>
      <c r="K2011" s="2" t="str">
        <f>HYPERLINK("https://www.nba.com/stats/events?CFID=&amp;CFPARAMS=&amp;GameEventID=79&amp;GameID=0021600336&amp;Season=2016-17&amp;flag=1&amp;title=Mills%20%203PT%20Jump%20Shot%20(5%20PTS)%20(Leonard%201%20AST)", "Mills  3PT Jump Shot (5 PTS) (Leonard 1 AST)")</f>
        <v>Mills  3PT Jump Shot (5 PTS) (Leonard 1 AST)</v>
      </c>
      <c r="L2011" s="2" t="str">
        <f>HYPERLINK("https://www.nba.com/game/...-vs-...-0021600336/play-by-play?watchFullGame=true", "SAS vs CHI - Q1 02:36.00")</f>
        <v>SAS vs CHI - Q1 02:36.00</v>
      </c>
      <c r="M2011">
        <v>0</v>
      </c>
      <c r="N2011">
        <v>-232</v>
      </c>
      <c r="O2011">
        <v>-15</v>
      </c>
      <c r="P2011">
        <v>-232</v>
      </c>
      <c r="Q2011">
        <v>-15</v>
      </c>
      <c r="R2011" t="s">
        <v>0</v>
      </c>
      <c r="S2011" t="s">
        <v>0</v>
      </c>
      <c r="T2011" t="s">
        <v>0</v>
      </c>
    </row>
    <row r="2012" spans="1:20" x14ac:dyDescent="0.25">
      <c r="A2012">
        <v>21600383</v>
      </c>
      <c r="B2012" t="s">
        <v>10</v>
      </c>
      <c r="C2012" t="s">
        <v>9</v>
      </c>
      <c r="D2012">
        <v>49</v>
      </c>
      <c r="E2012">
        <v>43</v>
      </c>
      <c r="F2012">
        <v>6</v>
      </c>
      <c r="G2012">
        <v>2</v>
      </c>
      <c r="H2012" s="1">
        <v>1.1574074074074073E-3</v>
      </c>
      <c r="I2012">
        <v>2016</v>
      </c>
      <c r="J2012" t="s">
        <v>7</v>
      </c>
      <c r="K2012" s="2" t="str">
        <f>HYPERLINK("https://www.nba.com/stats/events?CFID=&amp;CFPARAMS=&amp;GameEventID=215&amp;GameID=0021600383&amp;Season=2016-17&amp;flag=1&amp;title=Mills%2027'%203PT%20Jump%20Shot%20(6%20PTS)%20(Leonard%203%20AST)", "Mills 27' 3PT Jump Shot (6 PTS) (Leonard 3 AST)")</f>
        <v>Mills 27' 3PT Jump Shot (6 PTS) (Leonard 3 AST)</v>
      </c>
      <c r="L2012" s="2" t="str">
        <f>HYPERLINK("https://www.nba.com/game/...-vs-...-0021600383/play-by-play?watchFullGame=true", "SAS vs BOS - Q2 01:40.00")</f>
        <v>SAS vs BOS - Q2 01:40.00</v>
      </c>
      <c r="M2012">
        <v>27</v>
      </c>
      <c r="N2012">
        <v>120</v>
      </c>
      <c r="O2012">
        <v>237</v>
      </c>
      <c r="P2012">
        <v>120</v>
      </c>
      <c r="Q2012">
        <v>237</v>
      </c>
      <c r="R2012" t="s">
        <v>0</v>
      </c>
      <c r="S2012" t="s">
        <v>0</v>
      </c>
      <c r="T2012" t="s">
        <v>0</v>
      </c>
    </row>
    <row r="2013" spans="1:20" x14ac:dyDescent="0.25">
      <c r="A2013">
        <v>21600441</v>
      </c>
      <c r="B2013" t="s">
        <v>10</v>
      </c>
      <c r="C2013" t="s">
        <v>9</v>
      </c>
      <c r="D2013">
        <v>80</v>
      </c>
      <c r="E2013">
        <v>88</v>
      </c>
      <c r="F2013">
        <v>8</v>
      </c>
      <c r="G2013">
        <v>4</v>
      </c>
      <c r="H2013" s="1">
        <v>5.9722222222222225E-3</v>
      </c>
      <c r="I2013">
        <v>2016</v>
      </c>
      <c r="J2013" t="s">
        <v>7</v>
      </c>
      <c r="K2013" s="2" t="str">
        <f>HYPERLINK("https://www.nba.com/stats/events?CFID=&amp;CFPARAMS=&amp;GameEventID=466&amp;GameID=0021600441&amp;Season=2016-17&amp;flag=1&amp;title=Simmons%20%203PT%20Jump%20Shot%20(6%20PTS)%20(Leonard%205%20AST)", "Simmons  3PT Jump Shot (6 PTS) (Leonard 5 AST)")</f>
        <v>Simmons  3PT Jump Shot (6 PTS) (Leonard 5 AST)</v>
      </c>
      <c r="L2013" s="2" t="str">
        <f>HYPERLINK("https://www.nba.com/game/...-vs-...-0021600441/play-by-play?watchFullGame=true", "SAS vs LAC - Q4 08:36.00")</f>
        <v>SAS vs LAC - Q4 08:36.00</v>
      </c>
      <c r="M2013">
        <v>0</v>
      </c>
      <c r="N2013">
        <v>-233</v>
      </c>
      <c r="O2013">
        <v>2</v>
      </c>
      <c r="P2013">
        <v>-233</v>
      </c>
      <c r="Q2013">
        <v>2</v>
      </c>
      <c r="R2013" t="s">
        <v>0</v>
      </c>
      <c r="S2013" t="s">
        <v>0</v>
      </c>
      <c r="T2013" t="s">
        <v>0</v>
      </c>
    </row>
    <row r="2014" spans="1:20" x14ac:dyDescent="0.25">
      <c r="A2014">
        <v>21600558</v>
      </c>
      <c r="B2014" t="s">
        <v>10</v>
      </c>
      <c r="C2014" t="s">
        <v>9</v>
      </c>
      <c r="D2014">
        <v>52</v>
      </c>
      <c r="E2014">
        <v>54</v>
      </c>
      <c r="F2014">
        <v>2</v>
      </c>
      <c r="G2014">
        <v>3</v>
      </c>
      <c r="H2014" s="1">
        <v>6.6666666666666671E-3</v>
      </c>
      <c r="I2014">
        <v>2016</v>
      </c>
      <c r="J2014" t="s">
        <v>7</v>
      </c>
      <c r="K2014" s="2" t="str">
        <f>HYPERLINK("https://www.nba.com/stats/events?CFID=&amp;CFPARAMS=&amp;GameEventID=258&amp;GameID=0021600558&amp;Season=2016-17&amp;flag=1&amp;title=Gasol%2024'%203PT%20Jump%20Shot%20(3%20PTS)%20(Leonard%203%20AST)", "Gasol 24' 3PT Jump Shot (3 PTS) (Leonard 3 AST)")</f>
        <v>Gasol 24' 3PT Jump Shot (3 PTS) (Leonard 3 AST)</v>
      </c>
      <c r="L2014" s="2" t="str">
        <f>HYPERLINK("https://www.nba.com/game/...-vs-...-0021600558/play-by-play?watchFullGame=true", "SAS vs CHA - Q3 09:36.00")</f>
        <v>SAS vs CHA - Q3 09:36.00</v>
      </c>
      <c r="M2014">
        <v>24</v>
      </c>
      <c r="N2014">
        <v>9</v>
      </c>
      <c r="O2014">
        <v>242</v>
      </c>
      <c r="P2014">
        <v>9</v>
      </c>
      <c r="Q2014">
        <v>242</v>
      </c>
      <c r="R2014" t="s">
        <v>0</v>
      </c>
      <c r="S2014" t="s">
        <v>0</v>
      </c>
      <c r="T2014" t="s">
        <v>0</v>
      </c>
    </row>
    <row r="2015" spans="1:20" x14ac:dyDescent="0.25">
      <c r="A2015">
        <v>21500653</v>
      </c>
      <c r="B2015" t="s">
        <v>10</v>
      </c>
      <c r="C2015" t="s">
        <v>9</v>
      </c>
      <c r="D2015">
        <v>21</v>
      </c>
      <c r="E2015">
        <v>14</v>
      </c>
      <c r="F2015">
        <v>7</v>
      </c>
      <c r="G2015">
        <v>1</v>
      </c>
      <c r="H2015" s="1">
        <v>2.627314814814815E-3</v>
      </c>
      <c r="I2015">
        <v>2015</v>
      </c>
      <c r="J2015" t="s">
        <v>7</v>
      </c>
      <c r="K2015" s="2" t="str">
        <f>HYPERLINK("https://www.nba.com/stats/events?CFID=&amp;CFPARAMS=&amp;GameEventID=75&amp;GameID=0021500653&amp;Season=2015-16&amp;flag=1&amp;title=Green%2025'%203PT%20Jump%20Shot%20(9%20PTS)%20(Leonard%201%20AST)", "Green 25' 3PT Jump Shot (9 PTS) (Leonard 1 AST)")</f>
        <v>Green 25' 3PT Jump Shot (9 PTS) (Leonard 1 AST)</v>
      </c>
      <c r="L2015" s="2" t="str">
        <f>HYPERLINK("https://www.nba.com/game/...-vs-...-0021500653/play-by-play?watchFullGame=true", "SAS vs LAL - Q1 03:47.00")</f>
        <v>SAS vs LAL - Q1 03:47.00</v>
      </c>
      <c r="M2015">
        <v>25</v>
      </c>
      <c r="N2015">
        <v>104</v>
      </c>
      <c r="O2015">
        <v>228</v>
      </c>
      <c r="P2015">
        <v>104</v>
      </c>
      <c r="Q2015">
        <v>228</v>
      </c>
      <c r="R2015" t="s">
        <v>0</v>
      </c>
      <c r="S2015" t="s">
        <v>0</v>
      </c>
      <c r="T2015" t="s">
        <v>0</v>
      </c>
    </row>
    <row r="2016" spans="1:20" x14ac:dyDescent="0.25">
      <c r="A2016">
        <v>21500815</v>
      </c>
      <c r="B2016" t="s">
        <v>4</v>
      </c>
      <c r="C2016" t="s">
        <v>19</v>
      </c>
      <c r="D2016">
        <v>132</v>
      </c>
      <c r="E2016">
        <v>98</v>
      </c>
      <c r="F2016">
        <v>34</v>
      </c>
      <c r="G2016">
        <v>4</v>
      </c>
      <c r="H2016" s="1">
        <v>1.3425925925925925E-3</v>
      </c>
      <c r="I2016">
        <v>2015</v>
      </c>
      <c r="J2016" t="s">
        <v>12</v>
      </c>
      <c r="K2016" s="2" t="str">
        <f>HYPERLINK("https://www.nba.com/stats/events?CFID=&amp;CFPARAMS=&amp;GameEventID=543&amp;GameID=0021500815&amp;Season=2015-16&amp;flag=1&amp;title=Roberts%2021'%20Pullup%20Jump%20Shot%20(2%20PTS)%20(Leonard%201%20AST)", "Roberts 21' Pullup Jump Shot (2 PTS) (Leonard 1 AST)")</f>
        <v>Roberts 21' Pullup Jump Shot (2 PTS) (Leonard 1 AST)</v>
      </c>
      <c r="L2016" s="2" t="str">
        <f>HYPERLINK("https://www.nba.com/game/...-vs-...-0021500815/play-by-play?watchFullGame=true", "POR vs GSW - Q4 01:56.00")</f>
        <v>POR vs GSW - Q4 01:56.00</v>
      </c>
      <c r="M2016">
        <v>21</v>
      </c>
      <c r="N2016">
        <v>-102</v>
      </c>
      <c r="O2016">
        <v>188</v>
      </c>
      <c r="P2016">
        <v>-102</v>
      </c>
      <c r="Q2016">
        <v>188</v>
      </c>
      <c r="R2016" t="s">
        <v>0</v>
      </c>
      <c r="S2016" t="s">
        <v>0</v>
      </c>
      <c r="T2016" t="s">
        <v>0</v>
      </c>
    </row>
    <row r="2017" spans="1:20" x14ac:dyDescent="0.25">
      <c r="A2017">
        <v>21500859</v>
      </c>
      <c r="B2017" t="s">
        <v>10</v>
      </c>
      <c r="C2017" t="s">
        <v>9</v>
      </c>
      <c r="D2017">
        <v>55</v>
      </c>
      <c r="E2017">
        <v>37</v>
      </c>
      <c r="F2017">
        <v>18</v>
      </c>
      <c r="G2017">
        <v>2</v>
      </c>
      <c r="H2017" s="1">
        <v>4.2476851851851851E-3</v>
      </c>
      <c r="I2017">
        <v>2015</v>
      </c>
      <c r="J2017" t="s">
        <v>12</v>
      </c>
      <c r="K2017" s="2" t="str">
        <f>HYPERLINK("https://www.nba.com/stats/events?CFID=&amp;CFPARAMS=&amp;GameEventID=177&amp;GameID=0021500859&amp;Season=2015-16&amp;flag=1&amp;title=Crabbe%2025'%203PT%20Jump%20Shot%20(3%20PTS)%20(Leonard%201%20AST)", "Crabbe 25' 3PT Jump Shot (3 PTS) (Leonard 1 AST)")</f>
        <v>Crabbe 25' 3PT Jump Shot (3 PTS) (Leonard 1 AST)</v>
      </c>
      <c r="L2017" s="2" t="str">
        <f>HYPERLINK("https://www.nba.com/game/...-vs-...-0021500859/play-by-play?watchFullGame=true", "POR vs HOU - Q2 06:07.00")</f>
        <v>POR vs HOU - Q2 06:07.00</v>
      </c>
      <c r="M2017">
        <v>25</v>
      </c>
      <c r="N2017">
        <v>-156</v>
      </c>
      <c r="O2017">
        <v>198</v>
      </c>
      <c r="P2017">
        <v>-156</v>
      </c>
      <c r="Q2017">
        <v>198</v>
      </c>
      <c r="R2017" t="s">
        <v>0</v>
      </c>
      <c r="S2017" t="s">
        <v>0</v>
      </c>
      <c r="T2017" t="s">
        <v>0</v>
      </c>
    </row>
    <row r="2018" spans="1:20" x14ac:dyDescent="0.25">
      <c r="A2018">
        <v>21500872</v>
      </c>
      <c r="B2018" t="s">
        <v>10</v>
      </c>
      <c r="C2018" t="s">
        <v>9</v>
      </c>
      <c r="D2018">
        <v>62</v>
      </c>
      <c r="E2018">
        <v>33</v>
      </c>
      <c r="F2018">
        <v>29</v>
      </c>
      <c r="G2018">
        <v>3</v>
      </c>
      <c r="H2018" s="1">
        <v>5.6249999999999998E-3</v>
      </c>
      <c r="I2018">
        <v>2015</v>
      </c>
      <c r="J2018" t="s">
        <v>7</v>
      </c>
      <c r="K2018" s="2" t="str">
        <f>HYPERLINK("https://www.nba.com/stats/events?CFID=&amp;CFPARAMS=&amp;GameEventID=271&amp;GameID=0021500872&amp;Season=2015-16&amp;flag=1&amp;title=Parker%2024'%203PT%20Jump%20Shot%20(10%20PTS)%20(Leonard%201%20AST)", "Parker 24' 3PT Jump Shot (10 PTS) (Leonard 1 AST)")</f>
        <v>Parker 24' 3PT Jump Shot (10 PTS) (Leonard 1 AST)</v>
      </c>
      <c r="L2018" s="2" t="str">
        <f>HYPERLINK("https://www.nba.com/game/...-vs-...-0021500872/play-by-play?watchFullGame=true", "SAS vs HOU - Q3 08:06.00")</f>
        <v>SAS vs HOU - Q3 08:06.00</v>
      </c>
      <c r="M2018">
        <v>24</v>
      </c>
      <c r="N2018">
        <v>-153</v>
      </c>
      <c r="O2018">
        <v>190</v>
      </c>
      <c r="P2018">
        <v>-153</v>
      </c>
      <c r="Q2018">
        <v>190</v>
      </c>
      <c r="R2018" t="s">
        <v>0</v>
      </c>
      <c r="S2018" t="s">
        <v>0</v>
      </c>
      <c r="T2018" t="s">
        <v>0</v>
      </c>
    </row>
    <row r="2019" spans="1:20" x14ac:dyDescent="0.25">
      <c r="A2019">
        <v>21600037</v>
      </c>
      <c r="B2019" t="s">
        <v>10</v>
      </c>
      <c r="C2019" t="s">
        <v>9</v>
      </c>
      <c r="D2019">
        <v>89</v>
      </c>
      <c r="E2019">
        <v>87</v>
      </c>
      <c r="F2019">
        <v>2</v>
      </c>
      <c r="G2019">
        <v>4</v>
      </c>
      <c r="H2019" s="1">
        <v>4.5138888888888885E-3</v>
      </c>
      <c r="I2019">
        <v>2016</v>
      </c>
      <c r="J2019" t="s">
        <v>7</v>
      </c>
      <c r="K2019" s="2" t="str">
        <f>HYPERLINK("https://www.nba.com/stats/events?CFID=&amp;CFPARAMS=&amp;GameEventID=474&amp;GameID=0021600037&amp;Season=2016-17&amp;flag=1&amp;title=Mills%2024'%203PT%20Jump%20Shot%20(15%20PTS)%20(Leonard%206%20AST)", "Mills 24' 3PT Jump Shot (15 PTS) (Leonard 6 AST)")</f>
        <v>Mills 24' 3PT Jump Shot (15 PTS) (Leonard 6 AST)</v>
      </c>
      <c r="L2019" s="2" t="str">
        <f>HYPERLINK("https://www.nba.com/game/...-vs-...-0021600037/play-by-play?watchFullGame=true", "SAS vs MIA - Q4 06:30.00")</f>
        <v>SAS vs MIA - Q4 06:30.00</v>
      </c>
      <c r="M2019">
        <v>24</v>
      </c>
      <c r="N2019">
        <v>-202</v>
      </c>
      <c r="O2019">
        <v>129</v>
      </c>
      <c r="P2019">
        <v>-202</v>
      </c>
      <c r="Q2019">
        <v>129</v>
      </c>
      <c r="R2019" t="s">
        <v>0</v>
      </c>
      <c r="S2019" t="s">
        <v>0</v>
      </c>
      <c r="T2019" t="s">
        <v>0</v>
      </c>
    </row>
    <row r="2020" spans="1:20" x14ac:dyDescent="0.25">
      <c r="A2020">
        <v>21600063</v>
      </c>
      <c r="B2020" t="s">
        <v>10</v>
      </c>
      <c r="C2020" t="s">
        <v>9</v>
      </c>
      <c r="D2020">
        <v>31</v>
      </c>
      <c r="E2020">
        <v>28</v>
      </c>
      <c r="F2020">
        <v>3</v>
      </c>
      <c r="G2020">
        <v>2</v>
      </c>
      <c r="H2020" s="1">
        <v>7.5925925925925926E-3</v>
      </c>
      <c r="I2020">
        <v>2016</v>
      </c>
      <c r="J2020" t="s">
        <v>12</v>
      </c>
      <c r="K2020" s="2" t="str">
        <f>HYPERLINK("https://www.nba.com/stats/events?CFID=&amp;CFPARAMS=&amp;GameEventID=148&amp;GameID=0021600063&amp;Season=2016-17&amp;flag=1&amp;title=Crabbe%2026'%203PT%20Jump%20Shot%20(3%20PTS)%20(Leonard%201%20AST)", "Crabbe 26' 3PT Jump Shot (3 PTS) (Leonard 1 AST)")</f>
        <v>Crabbe 26' 3PT Jump Shot (3 PTS) (Leonard 1 AST)</v>
      </c>
      <c r="L2020" s="2" t="str">
        <f>HYPERLINK("https://www.nba.com/game/...-vs-...-0021600063/play-by-play?watchFullGame=true", "POR vs PHX - Q2 10:56.00")</f>
        <v>POR vs PHX - Q2 10:56.00</v>
      </c>
      <c r="M2020">
        <v>26</v>
      </c>
      <c r="N2020">
        <v>204</v>
      </c>
      <c r="O2020">
        <v>154</v>
      </c>
      <c r="P2020">
        <v>204</v>
      </c>
      <c r="Q2020">
        <v>154</v>
      </c>
      <c r="R2020" t="s">
        <v>0</v>
      </c>
      <c r="S2020" t="s">
        <v>0</v>
      </c>
      <c r="T2020" t="s">
        <v>0</v>
      </c>
    </row>
    <row r="2021" spans="1:20" x14ac:dyDescent="0.25">
      <c r="A2021">
        <v>21600289</v>
      </c>
      <c r="B2021" t="s">
        <v>4</v>
      </c>
      <c r="C2021" t="s">
        <v>5</v>
      </c>
      <c r="D2021">
        <v>50</v>
      </c>
      <c r="E2021">
        <v>53</v>
      </c>
      <c r="F2021">
        <v>3</v>
      </c>
      <c r="G2021">
        <v>2</v>
      </c>
      <c r="H2021" s="1">
        <v>1.5509259259259259E-3</v>
      </c>
      <c r="I2021">
        <v>2016</v>
      </c>
      <c r="J2021" t="s">
        <v>7</v>
      </c>
      <c r="K2021" s="2" t="str">
        <f>HYPERLINK("https://www.nba.com/stats/events?CFID=&amp;CFPARAMS=&amp;GameEventID=229&amp;GameID=0021600289&amp;Season=2016-17&amp;flag=1&amp;title=Aldridge%201'%20Layup%20(7%20PTS)%20(Leonard%202%20AST)", "Aldridge 1' Layup (7 PTS) (Leonard 2 AST)")</f>
        <v>Aldridge 1' Layup (7 PTS) (Leonard 2 AST)</v>
      </c>
      <c r="L2021" s="2" t="str">
        <f>HYPERLINK("https://www.nba.com/game/...-vs-...-0021600289/play-by-play?watchFullGame=true", "SAS vs WAS - Q2 02:14.00")</f>
        <v>SAS vs WAS - Q2 02:14.00</v>
      </c>
      <c r="M2021">
        <v>1</v>
      </c>
      <c r="N2021">
        <v>-7</v>
      </c>
      <c r="O2021">
        <v>8</v>
      </c>
      <c r="P2021">
        <v>-7</v>
      </c>
      <c r="Q2021">
        <v>8</v>
      </c>
      <c r="R2021" t="s">
        <v>0</v>
      </c>
      <c r="S2021" t="s">
        <v>0</v>
      </c>
      <c r="T2021" t="s">
        <v>0</v>
      </c>
    </row>
    <row r="2022" spans="1:20" x14ac:dyDescent="0.25">
      <c r="A2022">
        <v>21600319</v>
      </c>
      <c r="B2022" t="s">
        <v>4</v>
      </c>
      <c r="C2022" t="s">
        <v>36</v>
      </c>
      <c r="D2022">
        <v>72</v>
      </c>
      <c r="E2022">
        <v>64</v>
      </c>
      <c r="F2022">
        <v>8</v>
      </c>
      <c r="G2022">
        <v>3</v>
      </c>
      <c r="H2022" s="1">
        <v>1.1458333333333333E-4</v>
      </c>
      <c r="I2022">
        <v>2016</v>
      </c>
      <c r="J2022" t="s">
        <v>7</v>
      </c>
      <c r="K2022" s="2" t="str">
        <f>HYPERLINK("https://www.nba.com/stats/events?CFID=&amp;CFPARAMS=&amp;GameEventID=330&amp;GameID=0021600319&amp;Season=2016-17&amp;flag=1&amp;title=Mills%202'%20Running%20Layup%20(13%20PTS)%20(Leonard%204%20AST)", "Mills 2' Running Layup (13 PTS) (Leonard 4 AST)")</f>
        <v>Mills 2' Running Layup (13 PTS) (Leonard 4 AST)</v>
      </c>
      <c r="L2022" s="2" t="str">
        <f>HYPERLINK("https://www.nba.com/game/...-vs-...-0021600319/play-by-play?watchFullGame=true", "SAS vs MIN - Q3 00:09.90")</f>
        <v>SAS vs MIN - Q3 00:09.90</v>
      </c>
      <c r="M2022">
        <v>2</v>
      </c>
      <c r="N2022">
        <v>15</v>
      </c>
      <c r="O2022">
        <v>11</v>
      </c>
      <c r="P2022">
        <v>15</v>
      </c>
      <c r="Q2022">
        <v>11</v>
      </c>
      <c r="R2022" t="s">
        <v>0</v>
      </c>
      <c r="S2022" t="s">
        <v>0</v>
      </c>
      <c r="T2022" t="s">
        <v>0</v>
      </c>
    </row>
    <row r="2023" spans="1:20" x14ac:dyDescent="0.25">
      <c r="A2023">
        <v>21601151</v>
      </c>
      <c r="B2023" t="s">
        <v>4</v>
      </c>
      <c r="C2023" t="s">
        <v>9</v>
      </c>
      <c r="D2023">
        <v>8</v>
      </c>
      <c r="E2023">
        <v>4</v>
      </c>
      <c r="F2023">
        <v>4</v>
      </c>
      <c r="G2023">
        <v>1</v>
      </c>
      <c r="H2023" s="1">
        <v>6.6898148148148151E-3</v>
      </c>
      <c r="I2023">
        <v>2016</v>
      </c>
      <c r="J2023" t="s">
        <v>7</v>
      </c>
      <c r="K2023" s="2" t="str">
        <f>HYPERLINK("https://www.nba.com/stats/events?CFID=&amp;CFPARAMS=&amp;GameEventID=12&amp;GameID=0021601151&amp;Season=2016-17&amp;flag=1&amp;title=Parker%2021'%20Jump%20Shot%20(2%20PTS)%20(Leonard%201%20AST)", "Parker 21' Jump Shot (2 PTS) (Leonard 1 AST)")</f>
        <v>Parker 21' Jump Shot (2 PTS) (Leonard 1 AST)</v>
      </c>
      <c r="L2023" s="2" t="str">
        <f>HYPERLINK("https://www.nba.com/game/...-vs-...-0021601151/play-by-play?watchFullGame=true", "SAS vs UTA - Q1 09:38.00")</f>
        <v>SAS vs UTA - Q1 09:38.00</v>
      </c>
      <c r="M2023">
        <v>21</v>
      </c>
      <c r="N2023">
        <v>-205</v>
      </c>
      <c r="O2023">
        <v>8</v>
      </c>
      <c r="P2023">
        <v>-205</v>
      </c>
      <c r="Q2023">
        <v>8</v>
      </c>
      <c r="R2023" t="s">
        <v>0</v>
      </c>
      <c r="S2023" t="s">
        <v>0</v>
      </c>
      <c r="T2023" t="s">
        <v>0</v>
      </c>
    </row>
    <row r="2024" spans="1:20" x14ac:dyDescent="0.25">
      <c r="A2024">
        <v>21700384</v>
      </c>
      <c r="B2024" t="s">
        <v>10</v>
      </c>
      <c r="C2024" t="s">
        <v>9</v>
      </c>
      <c r="D2024">
        <v>3</v>
      </c>
      <c r="E2024">
        <v>2</v>
      </c>
      <c r="F2024">
        <v>1</v>
      </c>
      <c r="G2024">
        <v>1</v>
      </c>
      <c r="H2024" s="1">
        <v>7.8703703703703696E-3</v>
      </c>
      <c r="I2024">
        <v>2017</v>
      </c>
      <c r="J2024" t="s">
        <v>12</v>
      </c>
      <c r="K2024" s="2" t="str">
        <f>HYPERLINK("https://www.nba.com/stats/events?CFID=&amp;CFPARAMS=&amp;GameEventID=15&amp;GameID=0021700384&amp;Season=2017-18&amp;flag=1&amp;title=Lillard%2025'%203PT%20Jump%20Shot%20(3%20PTS)%20(Leonard%201%20AST)", "Lillard 25' 3PT Jump Shot (3 PTS) (Leonard 1 AST)")</f>
        <v>Lillard 25' 3PT Jump Shot (3 PTS) (Leonard 1 AST)</v>
      </c>
      <c r="L2024" s="2" t="str">
        <f>HYPERLINK("https://www.nba.com/game/...-vs-...-0021700384/play-by-play?watchFullGame=true", "POR vs HOU - Q1 11:20.00")</f>
        <v>POR vs HOU - Q1 11:20.00</v>
      </c>
      <c r="M2024">
        <v>25</v>
      </c>
      <c r="N2024">
        <v>156</v>
      </c>
      <c r="O2024">
        <v>191</v>
      </c>
      <c r="P2024">
        <v>156</v>
      </c>
      <c r="Q2024">
        <v>191</v>
      </c>
      <c r="R2024" t="s">
        <v>0</v>
      </c>
      <c r="S2024" t="s">
        <v>0</v>
      </c>
      <c r="T2024" t="s">
        <v>0</v>
      </c>
    </row>
    <row r="2025" spans="1:20" x14ac:dyDescent="0.25">
      <c r="A2025">
        <v>21700502</v>
      </c>
      <c r="B2025" t="s">
        <v>4</v>
      </c>
      <c r="C2025" t="s">
        <v>37</v>
      </c>
      <c r="D2025">
        <v>24</v>
      </c>
      <c r="E2025">
        <v>22</v>
      </c>
      <c r="F2025">
        <v>2</v>
      </c>
      <c r="G2025">
        <v>2</v>
      </c>
      <c r="H2025" s="1">
        <v>6.4583333333333333E-3</v>
      </c>
      <c r="I2025">
        <v>2017</v>
      </c>
      <c r="J2025" t="s">
        <v>7</v>
      </c>
      <c r="K2025" s="2" t="str">
        <f>HYPERLINK("https://www.nba.com/stats/events?CFID=&amp;CFPARAMS=&amp;GameEventID=192&amp;GameID=0021700502&amp;Season=2017-18&amp;flag=1&amp;title=Anderson%201'%20Driving%20Dunk%20(2%20PTS)%20(Leonard%201%20AST)", "Anderson 1' Driving Dunk (2 PTS) (Leonard 1 AST)")</f>
        <v>Anderson 1' Driving Dunk (2 PTS) (Leonard 1 AST)</v>
      </c>
      <c r="L2025" s="2" t="str">
        <f>HYPERLINK("https://www.nba.com/game/...-vs-...-0021700502/play-by-play?watchFullGame=true", "SAS vs BKN - Q2 09:18.00")</f>
        <v>SAS vs BKN - Q2 09:18.00</v>
      </c>
      <c r="M2025">
        <v>1</v>
      </c>
      <c r="N2025">
        <v>-2</v>
      </c>
      <c r="O2025">
        <v>5</v>
      </c>
      <c r="P2025">
        <v>-2</v>
      </c>
      <c r="Q2025">
        <v>5</v>
      </c>
      <c r="R2025" t="s">
        <v>0</v>
      </c>
      <c r="S2025" t="s">
        <v>0</v>
      </c>
      <c r="T2025" t="s">
        <v>0</v>
      </c>
    </row>
    <row r="2026" spans="1:20" x14ac:dyDescent="0.25">
      <c r="A2026">
        <v>21700550</v>
      </c>
      <c r="B2026" t="s">
        <v>10</v>
      </c>
      <c r="C2026" t="s">
        <v>9</v>
      </c>
      <c r="D2026">
        <v>48</v>
      </c>
      <c r="E2026">
        <v>45</v>
      </c>
      <c r="F2026">
        <v>3</v>
      </c>
      <c r="G2026">
        <v>2</v>
      </c>
      <c r="H2026" s="1">
        <v>1.261574074074074E-3</v>
      </c>
      <c r="I2026">
        <v>2017</v>
      </c>
      <c r="J2026" t="s">
        <v>7</v>
      </c>
      <c r="K2026" s="2" t="str">
        <f>HYPERLINK("https://www.nba.com/stats/events?CFID=&amp;CFPARAMS=&amp;GameEventID=278&amp;GameID=0021700550&amp;Season=2017-18&amp;flag=1&amp;title=Bertans%2026'%203PT%20Jump%20Shot%20(8%20PTS)%20(Leonard%204%20AST)", "Bertans 26' 3PT Jump Shot (8 PTS) (Leonard 4 AST)")</f>
        <v>Bertans 26' 3PT Jump Shot (8 PTS) (Leonard 4 AST)</v>
      </c>
      <c r="L2026" s="2" t="str">
        <f>HYPERLINK("https://www.nba.com/game/...-vs-...-0021700550/play-by-play?watchFullGame=true", "SAS vs NYK - Q2 01:49.00")</f>
        <v>SAS vs NYK - Q2 01:49.00</v>
      </c>
      <c r="M2026">
        <v>26</v>
      </c>
      <c r="N2026">
        <v>73</v>
      </c>
      <c r="O2026">
        <v>253</v>
      </c>
      <c r="P2026">
        <v>73</v>
      </c>
      <c r="Q2026">
        <v>253</v>
      </c>
      <c r="R2026" t="s">
        <v>0</v>
      </c>
      <c r="S2026" t="s">
        <v>0</v>
      </c>
      <c r="T2026" t="s">
        <v>0</v>
      </c>
    </row>
    <row r="2027" spans="1:20" x14ac:dyDescent="0.25">
      <c r="A2027">
        <v>21700840</v>
      </c>
      <c r="B2027" t="s">
        <v>10</v>
      </c>
      <c r="C2027" t="s">
        <v>9</v>
      </c>
      <c r="D2027">
        <v>57</v>
      </c>
      <c r="E2027">
        <v>72</v>
      </c>
      <c r="F2027">
        <v>15</v>
      </c>
      <c r="G2027">
        <v>3</v>
      </c>
      <c r="H2027" s="1">
        <v>2.2685185185185187E-3</v>
      </c>
      <c r="I2027">
        <v>2017</v>
      </c>
      <c r="J2027" t="s">
        <v>12</v>
      </c>
      <c r="K2027" s="2" t="str">
        <f>HYPERLINK("https://www.nba.com/stats/events?CFID=&amp;CFPARAMS=&amp;GameEventID=419&amp;GameID=0021700840&amp;Season=2017-18&amp;flag=1&amp;title=Lillard%2026'%203PT%20Jump%20Shot%20(23%20PTS)%20(Leonard%201%20AST)", "Lillard 26' 3PT Jump Shot (23 PTS) (Leonard 1 AST)")</f>
        <v>Lillard 26' 3PT Jump Shot (23 PTS) (Leonard 1 AST)</v>
      </c>
      <c r="L2027" s="2" t="str">
        <f>HYPERLINK("https://www.nba.com/game/...-vs-...-0021700840/play-by-play?watchFullGame=true", "POR vs UTA - Q3 03:16.00")</f>
        <v>POR vs UTA - Q3 03:16.00</v>
      </c>
      <c r="M2027">
        <v>26</v>
      </c>
      <c r="N2027">
        <v>11</v>
      </c>
      <c r="O2027">
        <v>259</v>
      </c>
      <c r="P2027">
        <v>11</v>
      </c>
      <c r="Q2027">
        <v>259</v>
      </c>
      <c r="R2027" t="s">
        <v>0</v>
      </c>
      <c r="S2027" t="s">
        <v>0</v>
      </c>
      <c r="T2027" t="s">
        <v>0</v>
      </c>
    </row>
    <row r="2028" spans="1:20" x14ac:dyDescent="0.25">
      <c r="A2028">
        <v>21800100</v>
      </c>
      <c r="B2028" t="s">
        <v>4</v>
      </c>
      <c r="C2028" t="s">
        <v>18</v>
      </c>
      <c r="D2028">
        <v>4</v>
      </c>
      <c r="E2028">
        <v>4</v>
      </c>
      <c r="F2028">
        <v>0</v>
      </c>
      <c r="G2028">
        <v>1</v>
      </c>
      <c r="H2028" s="1">
        <v>6.9097222222222225E-3</v>
      </c>
      <c r="I2028">
        <v>2018</v>
      </c>
      <c r="J2028" t="s">
        <v>1</v>
      </c>
      <c r="K2028" s="2" t="str">
        <f>HYPERLINK("https://www.nba.com/stats/events?CFID=&amp;CFPARAMS=&amp;GameEventID=30&amp;GameID=0021800100&amp;Season=2018-19&amp;flag=1&amp;title=Ibaka%2014'%20Hook%20Shot%20(2%20PTS)%20(Leonard%201%20AST)", "Ibaka 14' Hook Shot (2 PTS) (Leonard 1 AST)")</f>
        <v>Ibaka 14' Hook Shot (2 PTS) (Leonard 1 AST)</v>
      </c>
      <c r="L2028" s="2" t="str">
        <f>HYPERLINK("https://www.nba.com/game/...-vs-...-0021800100/play-by-play?watchFullGame=true", "TOR vs PHI - Q1 09:57.00")</f>
        <v>TOR vs PHI - Q1 09:57.00</v>
      </c>
      <c r="M2028">
        <v>14</v>
      </c>
      <c r="N2028">
        <v>-55</v>
      </c>
      <c r="O2028">
        <v>130</v>
      </c>
      <c r="P2028">
        <v>-55</v>
      </c>
      <c r="Q2028">
        <v>130</v>
      </c>
      <c r="R2028" t="s">
        <v>0</v>
      </c>
      <c r="S2028" t="s">
        <v>0</v>
      </c>
      <c r="T2028" t="s">
        <v>0</v>
      </c>
    </row>
    <row r="2029" spans="1:20" x14ac:dyDescent="0.25">
      <c r="A2029">
        <v>21800174</v>
      </c>
      <c r="B2029" t="s">
        <v>10</v>
      </c>
      <c r="C2029" t="s">
        <v>9</v>
      </c>
      <c r="D2029">
        <v>51</v>
      </c>
      <c r="E2029">
        <v>42</v>
      </c>
      <c r="F2029">
        <v>9</v>
      </c>
      <c r="G2029">
        <v>2</v>
      </c>
      <c r="H2029" s="1">
        <v>2.7893518518518519E-3</v>
      </c>
      <c r="I2029">
        <v>2018</v>
      </c>
      <c r="J2029" t="s">
        <v>1</v>
      </c>
      <c r="K2029" s="2" t="str">
        <f>HYPERLINK("https://www.nba.com/stats/events?CFID=&amp;CFPARAMS=&amp;GameEventID=285&amp;GameID=0021800174&amp;Season=2018-19&amp;flag=1&amp;title=Siakam%2025'%203PT%20Jump%20Shot%20(9%20PTS)%20(Leonard%201%20AST)", "Siakam 25' 3PT Jump Shot (9 PTS) (Leonard 1 AST)")</f>
        <v>Siakam 25' 3PT Jump Shot (9 PTS) (Leonard 1 AST)</v>
      </c>
      <c r="L2029" s="2" t="str">
        <f>HYPERLINK("https://www.nba.com/game/...-vs-...-0021800174/play-by-play?watchFullGame=true", "TOR vs NYK - Q2 04:01.00")</f>
        <v>TOR vs NYK - Q2 04:01.00</v>
      </c>
      <c r="M2029">
        <v>25</v>
      </c>
      <c r="N2029">
        <v>-158</v>
      </c>
      <c r="O2029">
        <v>199</v>
      </c>
      <c r="P2029">
        <v>-158</v>
      </c>
      <c r="Q2029">
        <v>199</v>
      </c>
      <c r="R2029" t="s">
        <v>0</v>
      </c>
      <c r="S2029" t="s">
        <v>0</v>
      </c>
      <c r="T2029" t="s">
        <v>0</v>
      </c>
    </row>
    <row r="2030" spans="1:20" x14ac:dyDescent="0.25">
      <c r="A2030">
        <v>21800303</v>
      </c>
      <c r="B2030" t="s">
        <v>4</v>
      </c>
      <c r="C2030" t="s">
        <v>36</v>
      </c>
      <c r="D2030">
        <v>84</v>
      </c>
      <c r="E2030">
        <v>89</v>
      </c>
      <c r="F2030">
        <v>5</v>
      </c>
      <c r="G2030">
        <v>3</v>
      </c>
      <c r="H2030" s="1">
        <v>2.5578703703703705E-3</v>
      </c>
      <c r="I2030">
        <v>2018</v>
      </c>
      <c r="J2030" t="s">
        <v>1</v>
      </c>
      <c r="K2030" s="2" t="str">
        <f>HYPERLINK("https://www.nba.com/stats/events?CFID=&amp;CFPARAMS=&amp;GameEventID=410&amp;GameID=0021800303&amp;Season=2018-19&amp;flag=1&amp;title=Ibaka%202'%20Running%20Layup%20(14%20PTS)%20(Leonard%201%20AST)", "Ibaka 2' Running Layup (14 PTS) (Leonard 1 AST)")</f>
        <v>Ibaka 2' Running Layup (14 PTS) (Leonard 1 AST)</v>
      </c>
      <c r="L2030" s="2" t="str">
        <f>HYPERLINK("https://www.nba.com/game/...-vs-...-0021800303/play-by-play?watchFullGame=true", "TOR vs MEM - Q3 03:41.00")</f>
        <v>TOR vs MEM - Q3 03:41.00</v>
      </c>
      <c r="M2030">
        <v>2</v>
      </c>
      <c r="N2030">
        <v>18</v>
      </c>
      <c r="O2030">
        <v>3</v>
      </c>
      <c r="P2030">
        <v>18</v>
      </c>
      <c r="Q2030">
        <v>3</v>
      </c>
      <c r="R2030" t="s">
        <v>0</v>
      </c>
      <c r="S2030" t="s">
        <v>0</v>
      </c>
      <c r="T2030" t="s">
        <v>0</v>
      </c>
    </row>
    <row r="2031" spans="1:20" x14ac:dyDescent="0.25">
      <c r="A2031">
        <v>21600063</v>
      </c>
      <c r="B2031" t="s">
        <v>4</v>
      </c>
      <c r="C2031" t="s">
        <v>9</v>
      </c>
      <c r="D2031">
        <v>75</v>
      </c>
      <c r="E2031">
        <v>76</v>
      </c>
      <c r="F2031">
        <v>1</v>
      </c>
      <c r="G2031">
        <v>4</v>
      </c>
      <c r="H2031" s="1">
        <v>8.0787037037037043E-3</v>
      </c>
      <c r="I2031">
        <v>2016</v>
      </c>
      <c r="J2031" t="s">
        <v>12</v>
      </c>
      <c r="K2031" s="2" t="str">
        <f>HYPERLINK("https://www.nba.com/stats/events?CFID=&amp;CFPARAMS=&amp;GameEventID=415&amp;GameID=0021600063&amp;Season=2016-17&amp;flag=1&amp;title=Crabbe%208'%20Jump%20Shot%20(9%20PTS)%20(Leonard%202%20AST)", "Crabbe 8' Jump Shot (9 PTS) (Leonard 2 AST)")</f>
        <v>Crabbe 8' Jump Shot (9 PTS) (Leonard 2 AST)</v>
      </c>
      <c r="L2031" s="2" t="str">
        <f>HYPERLINK("https://www.nba.com/game/...-vs-...-0021600063/play-by-play?watchFullGame=true", "POR vs PHX - Q4 11:38.00")</f>
        <v>POR vs PHX - Q4 11:38.00</v>
      </c>
      <c r="M2031">
        <v>8</v>
      </c>
      <c r="N2031">
        <v>-22</v>
      </c>
      <c r="O2031">
        <v>75</v>
      </c>
      <c r="P2031">
        <v>-22</v>
      </c>
      <c r="Q2031">
        <v>75</v>
      </c>
      <c r="R2031" t="s">
        <v>0</v>
      </c>
      <c r="S2031" t="s">
        <v>0</v>
      </c>
      <c r="T2031" t="s">
        <v>0</v>
      </c>
    </row>
    <row r="2032" spans="1:20" x14ac:dyDescent="0.25">
      <c r="A2032">
        <v>21600077</v>
      </c>
      <c r="B2032" t="s">
        <v>10</v>
      </c>
      <c r="C2032" t="s">
        <v>3</v>
      </c>
      <c r="D2032">
        <v>65</v>
      </c>
      <c r="E2032">
        <v>50</v>
      </c>
      <c r="F2032">
        <v>15</v>
      </c>
      <c r="G2032">
        <v>3</v>
      </c>
      <c r="H2032" s="1">
        <v>5.9259259259259256E-3</v>
      </c>
      <c r="I2032">
        <v>2016</v>
      </c>
      <c r="J2032" t="s">
        <v>7</v>
      </c>
      <c r="K2032" s="2" t="str">
        <f>HYPERLINK("https://www.nba.com/stats/events?CFID=&amp;CFPARAMS=&amp;GameEventID=300&amp;GameID=0021600077&amp;Season=2016-17&amp;flag=1&amp;title=Mills%2025'%203PT%20Running%20Jump%20Shot%20(11%20PTS)%20(Leonard%202%20AST)", "Mills 25' 3PT Running Jump Shot (11 PTS) (Leonard 2 AST)")</f>
        <v>Mills 25' 3PT Running Jump Shot (11 PTS) (Leonard 2 AST)</v>
      </c>
      <c r="L2032" s="2" t="str">
        <f>HYPERLINK("https://www.nba.com/game/...-vs-...-0021600077/play-by-play?watchFullGame=true", "SAS vs UTA - Q3 08:32.00")</f>
        <v>SAS vs UTA - Q3 08:32.00</v>
      </c>
      <c r="M2032">
        <v>25</v>
      </c>
      <c r="N2032">
        <v>145</v>
      </c>
      <c r="O2032">
        <v>205</v>
      </c>
      <c r="P2032">
        <v>145</v>
      </c>
      <c r="Q2032">
        <v>205</v>
      </c>
      <c r="R2032" t="s">
        <v>0</v>
      </c>
      <c r="S2032" t="s">
        <v>0</v>
      </c>
      <c r="T2032" t="s">
        <v>0</v>
      </c>
    </row>
    <row r="2033" spans="1:20" x14ac:dyDescent="0.25">
      <c r="A2033">
        <v>21600168</v>
      </c>
      <c r="B2033" t="s">
        <v>4</v>
      </c>
      <c r="C2033" t="s">
        <v>5</v>
      </c>
      <c r="D2033">
        <v>21</v>
      </c>
      <c r="E2033">
        <v>13</v>
      </c>
      <c r="F2033">
        <v>8</v>
      </c>
      <c r="G2033">
        <v>1</v>
      </c>
      <c r="H2033" s="1">
        <v>3.1597222222222222E-3</v>
      </c>
      <c r="I2033">
        <v>2016</v>
      </c>
      <c r="J2033" t="s">
        <v>7</v>
      </c>
      <c r="K2033" s="2" t="str">
        <f>HYPERLINK("https://www.nba.com/stats/events?CFID=&amp;CFPARAMS=&amp;GameEventID=77&amp;GameID=0021600168&amp;Season=2016-17&amp;flag=1&amp;title=Lee%202'%20Layup%20(2%20PTS)%20(Leonard%201%20AST)", "Lee 2' Layup (2 PTS) (Leonard 1 AST)")</f>
        <v>Lee 2' Layup (2 PTS) (Leonard 1 AST)</v>
      </c>
      <c r="L2033" s="2" t="str">
        <f>HYPERLINK("https://www.nba.com/game/...-vs-...-0021600168/play-by-play?watchFullGame=true", "SAS vs SAC - Q1 04:33.00")</f>
        <v>SAS vs SAC - Q1 04:33.00</v>
      </c>
      <c r="M2033">
        <v>2</v>
      </c>
      <c r="N2033">
        <v>-22</v>
      </c>
      <c r="O2033">
        <v>11</v>
      </c>
      <c r="P2033">
        <v>-22</v>
      </c>
      <c r="Q2033">
        <v>11</v>
      </c>
      <c r="R2033" t="s">
        <v>0</v>
      </c>
      <c r="S2033" t="s">
        <v>0</v>
      </c>
      <c r="T2033" t="s">
        <v>0</v>
      </c>
    </row>
    <row r="2034" spans="1:20" x14ac:dyDescent="0.25">
      <c r="A2034">
        <v>21600225</v>
      </c>
      <c r="B2034" t="s">
        <v>4</v>
      </c>
      <c r="C2034" t="s">
        <v>9</v>
      </c>
      <c r="D2034">
        <v>98</v>
      </c>
      <c r="E2034">
        <v>94</v>
      </c>
      <c r="F2034">
        <v>4</v>
      </c>
      <c r="G2034">
        <v>4</v>
      </c>
      <c r="H2034" s="1">
        <v>2.7546296296296294E-3</v>
      </c>
      <c r="I2034">
        <v>2016</v>
      </c>
      <c r="J2034" t="s">
        <v>7</v>
      </c>
      <c r="K2034" s="2" t="str">
        <f>HYPERLINK("https://www.nba.com/stats/events?CFID=&amp;CFPARAMS=&amp;GameEventID=454&amp;GameID=0021600225&amp;Season=2016-17&amp;flag=1&amp;title=Aldridge%2016'%20Jump%20Shot%20(8%20PTS)%20(Leonard%204%20AST)", "Aldridge 16' Jump Shot (8 PTS) (Leonard 4 AST)")</f>
        <v>Aldridge 16' Jump Shot (8 PTS) (Leonard 4 AST)</v>
      </c>
      <c r="L2034" s="2" t="str">
        <f>HYPERLINK("https://www.nba.com/game/...-vs-...-0021600225/play-by-play?watchFullGame=true", "SAS vs BOS - Q4 03:58.00")</f>
        <v>SAS vs BOS - Q4 03:58.00</v>
      </c>
      <c r="M2034">
        <v>16</v>
      </c>
      <c r="N2034">
        <v>-1</v>
      </c>
      <c r="O2034">
        <v>160</v>
      </c>
      <c r="P2034">
        <v>-1</v>
      </c>
      <c r="Q2034">
        <v>160</v>
      </c>
      <c r="R2034" t="s">
        <v>0</v>
      </c>
      <c r="S2034" t="s">
        <v>0</v>
      </c>
      <c r="T2034" t="s">
        <v>0</v>
      </c>
    </row>
    <row r="2035" spans="1:20" x14ac:dyDescent="0.25">
      <c r="A2035">
        <v>21600237</v>
      </c>
      <c r="B2035" t="s">
        <v>10</v>
      </c>
      <c r="C2035" t="s">
        <v>9</v>
      </c>
      <c r="D2035">
        <v>57</v>
      </c>
      <c r="E2035">
        <v>52</v>
      </c>
      <c r="F2035">
        <v>5</v>
      </c>
      <c r="G2035">
        <v>2</v>
      </c>
      <c r="H2035" s="1">
        <v>2.7777777777777779E-3</v>
      </c>
      <c r="I2035">
        <v>2016</v>
      </c>
      <c r="J2035" t="s">
        <v>12</v>
      </c>
      <c r="K2035" s="2" t="str">
        <f>HYPERLINK("https://www.nba.com/stats/events?CFID=&amp;CFPARAMS=&amp;GameEventID=228&amp;GameID=0021600237&amp;Season=2016-17&amp;flag=1&amp;title=Lillard%2027'%203PT%20Jump%20Shot%20(9%20PTS)%20(Leonard%201%20AST)", "Lillard 27' 3PT Jump Shot (9 PTS) (Leonard 1 AST)")</f>
        <v>Lillard 27' 3PT Jump Shot (9 PTS) (Leonard 1 AST)</v>
      </c>
      <c r="L2035" s="2" t="str">
        <f>HYPERLINK("https://www.nba.com/game/...-vs-...-0021600237/play-by-play?watchFullGame=true", "POR vs NOP - Q2 04:00.00")</f>
        <v>POR vs NOP - Q2 04:00.00</v>
      </c>
      <c r="M2035">
        <v>27</v>
      </c>
      <c r="N2035">
        <v>43</v>
      </c>
      <c r="O2035">
        <v>264</v>
      </c>
      <c r="P2035">
        <v>43</v>
      </c>
      <c r="Q2035">
        <v>264</v>
      </c>
      <c r="R2035" t="s">
        <v>0</v>
      </c>
      <c r="S2035" t="s">
        <v>0</v>
      </c>
      <c r="T2035" t="s">
        <v>0</v>
      </c>
    </row>
    <row r="2036" spans="1:20" x14ac:dyDescent="0.25">
      <c r="A2036">
        <v>21600272</v>
      </c>
      <c r="B2036" t="s">
        <v>10</v>
      </c>
      <c r="C2036" t="s">
        <v>9</v>
      </c>
      <c r="D2036">
        <v>31</v>
      </c>
      <c r="E2036">
        <v>19</v>
      </c>
      <c r="F2036">
        <v>12</v>
      </c>
      <c r="G2036">
        <v>2</v>
      </c>
      <c r="H2036" s="1">
        <v>5.4629629629629629E-3</v>
      </c>
      <c r="I2036">
        <v>2016</v>
      </c>
      <c r="J2036" t="s">
        <v>7</v>
      </c>
      <c r="K2036" s="2" t="str">
        <f>HYPERLINK("https://www.nba.com/stats/events?CFID=&amp;CFPARAMS=&amp;GameEventID=162&amp;GameID=0021600272&amp;Season=2016-17&amp;flag=1&amp;title=Laprovittola%2025'%203PT%20Jump%20Shot%20(5%20PTS)%20(Leonard%202%20AST)", "Laprovittola 25' 3PT Jump Shot (5 PTS) (Leonard 2 AST)")</f>
        <v>Laprovittola 25' 3PT Jump Shot (5 PTS) (Leonard 2 AST)</v>
      </c>
      <c r="L2036" s="2" t="str">
        <f>HYPERLINK("https://www.nba.com/game/...-vs-...-0021600272/play-by-play?watchFullGame=true", "SAS vs DAL - Q2 07:52.00")</f>
        <v>SAS vs DAL - Q2 07:52.00</v>
      </c>
      <c r="M2036">
        <v>25</v>
      </c>
      <c r="N2036">
        <v>-79</v>
      </c>
      <c r="O2036">
        <v>232</v>
      </c>
      <c r="P2036">
        <v>-79</v>
      </c>
      <c r="Q2036">
        <v>232</v>
      </c>
      <c r="R2036" t="s">
        <v>0</v>
      </c>
      <c r="S2036" t="s">
        <v>0</v>
      </c>
      <c r="T2036" t="s">
        <v>0</v>
      </c>
    </row>
    <row r="2037" spans="1:20" x14ac:dyDescent="0.25">
      <c r="A2037">
        <v>21600383</v>
      </c>
      <c r="B2037" t="s">
        <v>4</v>
      </c>
      <c r="C2037" t="s">
        <v>9</v>
      </c>
      <c r="D2037">
        <v>96</v>
      </c>
      <c r="E2037">
        <v>85</v>
      </c>
      <c r="F2037">
        <v>11</v>
      </c>
      <c r="G2037">
        <v>4</v>
      </c>
      <c r="H2037" s="1">
        <v>3.9351851851851848E-3</v>
      </c>
      <c r="I2037">
        <v>2016</v>
      </c>
      <c r="J2037" t="s">
        <v>7</v>
      </c>
      <c r="K2037" s="2" t="str">
        <f>HYPERLINK("https://www.nba.com/stats/events?CFID=&amp;CFPARAMS=&amp;GameEventID=425&amp;GameID=0021600383&amp;Season=2016-17&amp;flag=1&amp;title=Parker%2018'%20Jump%20Shot%20(14%20PTS)%20(Leonard%206%20AST)", "Parker 18' Jump Shot (14 PTS) (Leonard 6 AST)")</f>
        <v>Parker 18' Jump Shot (14 PTS) (Leonard 6 AST)</v>
      </c>
      <c r="L2037" s="2" t="str">
        <f>HYPERLINK("https://www.nba.com/game/...-vs-...-0021600383/play-by-play?watchFullGame=true", "SAS vs BOS - Q4 05:40.00")</f>
        <v>SAS vs BOS - Q4 05:40.00</v>
      </c>
      <c r="M2037">
        <v>18</v>
      </c>
      <c r="N2037">
        <v>-184</v>
      </c>
      <c r="O2037">
        <v>-11</v>
      </c>
      <c r="P2037">
        <v>-184</v>
      </c>
      <c r="Q2037">
        <v>-11</v>
      </c>
      <c r="R2037" t="s">
        <v>0</v>
      </c>
      <c r="S2037" t="s">
        <v>0</v>
      </c>
      <c r="T2037" t="s">
        <v>0</v>
      </c>
    </row>
    <row r="2038" spans="1:20" x14ac:dyDescent="0.25">
      <c r="A2038">
        <v>21600605</v>
      </c>
      <c r="B2038" t="s">
        <v>10</v>
      </c>
      <c r="C2038" t="s">
        <v>9</v>
      </c>
      <c r="D2038">
        <v>65</v>
      </c>
      <c r="E2038">
        <v>58</v>
      </c>
      <c r="F2038">
        <v>7</v>
      </c>
      <c r="G2038">
        <v>3</v>
      </c>
      <c r="H2038" s="1">
        <v>6.5972222222222222E-3</v>
      </c>
      <c r="I2038">
        <v>2016</v>
      </c>
      <c r="J2038" t="s">
        <v>7</v>
      </c>
      <c r="K2038" s="2" t="str">
        <f>HYPERLINK("https://www.nba.com/stats/events?CFID=&amp;CFPARAMS=&amp;GameEventID=311&amp;GameID=0021600605&amp;Season=2016-17&amp;flag=1&amp;title=Aldridge%20%203PT%20Jump%20Shot%20(11%20PTS)%20(Leonard%203%20AST)", "Aldridge  3PT Jump Shot (11 PTS) (Leonard 3 AST)")</f>
        <v>Aldridge  3PT Jump Shot (11 PTS) (Leonard 3 AST)</v>
      </c>
      <c r="L2038" s="2" t="str">
        <f>HYPERLINK("https://www.nba.com/game/...-vs-...-0021600605/play-by-play?watchFullGame=true", "SAS vs PHX - Q3 09:30.00")</f>
        <v>SAS vs PHX - Q3 09:30.00</v>
      </c>
      <c r="M2038">
        <v>0</v>
      </c>
      <c r="N2038">
        <v>232</v>
      </c>
      <c r="O2038">
        <v>-6</v>
      </c>
      <c r="P2038">
        <v>232</v>
      </c>
      <c r="Q2038">
        <v>-6</v>
      </c>
      <c r="R2038" t="s">
        <v>0</v>
      </c>
      <c r="S2038" t="s">
        <v>0</v>
      </c>
      <c r="T2038" t="s">
        <v>0</v>
      </c>
    </row>
    <row r="2039" spans="1:20" x14ac:dyDescent="0.25">
      <c r="A2039">
        <v>21500224</v>
      </c>
      <c r="B2039" t="s">
        <v>4</v>
      </c>
      <c r="C2039" t="s">
        <v>9</v>
      </c>
      <c r="D2039">
        <v>78</v>
      </c>
      <c r="E2039">
        <v>73</v>
      </c>
      <c r="F2039">
        <v>5</v>
      </c>
      <c r="G2039">
        <v>4</v>
      </c>
      <c r="H2039" s="1">
        <v>2.7314814814814814E-3</v>
      </c>
      <c r="I2039">
        <v>2015</v>
      </c>
      <c r="J2039" t="s">
        <v>7</v>
      </c>
      <c r="K2039" s="2" t="str">
        <f>HYPERLINK("https://www.nba.com/stats/events?CFID=&amp;CFPARAMS=&amp;GameEventID=458&amp;GameID=0021500224&amp;Season=2015-16&amp;flag=1&amp;title=Parker%2022'%20Jump%20Shot%20(16%20PTS)%20(Leonard%205%20AST)", "Parker 22' Jump Shot (16 PTS) (Leonard 5 AST)")</f>
        <v>Parker 22' Jump Shot (16 PTS) (Leonard 5 AST)</v>
      </c>
      <c r="L2039" s="2" t="str">
        <f>HYPERLINK("https://www.nba.com/game/...-vs-...-0021500224/play-by-play?watchFullGame=true", "SAS vs DAL - Q4 03:56.00")</f>
        <v>SAS vs DAL - Q4 03:56.00</v>
      </c>
      <c r="M2039">
        <v>22</v>
      </c>
      <c r="N2039">
        <v>-148</v>
      </c>
      <c r="O2039">
        <v>169</v>
      </c>
      <c r="P2039">
        <v>-148</v>
      </c>
      <c r="Q2039">
        <v>169</v>
      </c>
      <c r="R2039" t="s">
        <v>0</v>
      </c>
      <c r="S2039" t="s">
        <v>0</v>
      </c>
      <c r="T2039" t="s">
        <v>0</v>
      </c>
    </row>
    <row r="2040" spans="1:20" x14ac:dyDescent="0.25">
      <c r="A2040">
        <v>21500267</v>
      </c>
      <c r="B2040" t="s">
        <v>4</v>
      </c>
      <c r="C2040" t="s">
        <v>23</v>
      </c>
      <c r="D2040">
        <v>103</v>
      </c>
      <c r="E2040">
        <v>108</v>
      </c>
      <c r="F2040">
        <v>5</v>
      </c>
      <c r="G2040">
        <v>5</v>
      </c>
      <c r="H2040" s="1">
        <v>4.1898148148148149E-4</v>
      </c>
      <c r="I2040">
        <v>2015</v>
      </c>
      <c r="J2040" t="s">
        <v>12</v>
      </c>
      <c r="K2040" s="2" t="str">
        <f>HYPERLINK("https://www.nba.com/stats/events?CFID=&amp;CFPARAMS=&amp;GameEventID=543&amp;GameID=0021500267&amp;Season=2015-16&amp;flag=1&amp;title=Lillard%201'%20Driving%20Layup%20(18%20PTS)%20(Leonard%201%20AST)", "Lillard 1' Driving Layup (18 PTS) (Leonard 1 AST)")</f>
        <v>Lillard 1' Driving Layup (18 PTS) (Leonard 1 AST)</v>
      </c>
      <c r="L2040" s="2" t="str">
        <f>HYPERLINK("https://www.nba.com/game/...-vs-...-0021500267/play-by-play?watchFullGame=true", "POR vs DAL - Q5 00:36.20")</f>
        <v>POR vs DAL - Q5 00:36.20</v>
      </c>
      <c r="M2040">
        <v>1</v>
      </c>
      <c r="N2040">
        <v>-9</v>
      </c>
      <c r="O2040">
        <v>11</v>
      </c>
      <c r="P2040">
        <v>-9</v>
      </c>
      <c r="Q2040">
        <v>11</v>
      </c>
      <c r="R2040" t="s">
        <v>0</v>
      </c>
      <c r="S2040" t="s">
        <v>0</v>
      </c>
      <c r="T2040" t="s">
        <v>0</v>
      </c>
    </row>
    <row r="2041" spans="1:20" x14ac:dyDescent="0.25">
      <c r="A2041">
        <v>21500416</v>
      </c>
      <c r="B2041" t="s">
        <v>4</v>
      </c>
      <c r="C2041" t="s">
        <v>25</v>
      </c>
      <c r="D2041">
        <v>70</v>
      </c>
      <c r="E2041">
        <v>62</v>
      </c>
      <c r="F2041">
        <v>8</v>
      </c>
      <c r="G2041">
        <v>3</v>
      </c>
      <c r="H2041" s="1">
        <v>2.5810185185185185E-3</v>
      </c>
      <c r="I2041">
        <v>2015</v>
      </c>
      <c r="J2041" t="s">
        <v>7</v>
      </c>
      <c r="K2041" s="2" t="str">
        <f>HYPERLINK("https://www.nba.com/stats/events?CFID=&amp;CFPARAMS=&amp;GameEventID=318&amp;GameID=0021500416&amp;Season=2015-16&amp;flag=1&amp;title=Mills%201'%20Running%20Finger%20Roll%20Layup%20(8%20PTS)%20(Leonard%202%20AST)", "Mills 1' Running Finger Roll Layup (8 PTS) (Leonard 2 AST)")</f>
        <v>Mills 1' Running Finger Roll Layup (8 PTS) (Leonard 2 AST)</v>
      </c>
      <c r="L2041" s="2" t="str">
        <f>HYPERLINK("https://www.nba.com/game/...-vs-...-0021500416/play-by-play?watchFullGame=true", "SAS vs IND - Q3 03:43.00")</f>
        <v>SAS vs IND - Q3 03:43.00</v>
      </c>
      <c r="M2041">
        <v>1</v>
      </c>
      <c r="N2041">
        <v>9</v>
      </c>
      <c r="O2041">
        <v>-5</v>
      </c>
      <c r="P2041">
        <v>9</v>
      </c>
      <c r="Q2041">
        <v>-5</v>
      </c>
      <c r="R2041" t="s">
        <v>0</v>
      </c>
      <c r="S2041" t="s">
        <v>0</v>
      </c>
      <c r="T2041" t="s">
        <v>0</v>
      </c>
    </row>
    <row r="2042" spans="1:20" x14ac:dyDescent="0.25">
      <c r="A2042">
        <v>21500453</v>
      </c>
      <c r="B2042" t="s">
        <v>4</v>
      </c>
      <c r="C2042" t="s">
        <v>17</v>
      </c>
      <c r="D2042">
        <v>34</v>
      </c>
      <c r="E2042">
        <v>12</v>
      </c>
      <c r="F2042">
        <v>22</v>
      </c>
      <c r="G2042">
        <v>1</v>
      </c>
      <c r="H2042" s="1">
        <v>2.3148148148148148E-6</v>
      </c>
      <c r="I2042">
        <v>2015</v>
      </c>
      <c r="J2042" t="s">
        <v>12</v>
      </c>
      <c r="K2042" s="2" t="str">
        <f>HYPERLINK("https://www.nba.com/stats/events?CFID=&amp;CFPARAMS=&amp;GameEventID=122&amp;GameID=0021500453&amp;Season=2015-16&amp;flag=1&amp;title=Crabbe%2011'%20Floating%20Jump%20Shot%20(13%20PTS)%20(Leonard%201%20AST)", "Crabbe 11' Floating Jump Shot (13 PTS) (Leonard 1 AST)")</f>
        <v>Crabbe 11' Floating Jump Shot (13 PTS) (Leonard 1 AST)</v>
      </c>
      <c r="L2042" s="2" t="str">
        <f>HYPERLINK("https://www.nba.com/game/...-vs-...-0021500453/play-by-play?watchFullGame=true", "POR vs CLE - Q1 00:00.20")</f>
        <v>POR vs CLE - Q1 00:00.20</v>
      </c>
      <c r="M2042">
        <v>11</v>
      </c>
      <c r="N2042">
        <v>107</v>
      </c>
      <c r="O2042">
        <v>7</v>
      </c>
      <c r="P2042">
        <v>107</v>
      </c>
      <c r="Q2042">
        <v>7</v>
      </c>
      <c r="R2042" t="s">
        <v>0</v>
      </c>
      <c r="S2042" t="s">
        <v>0</v>
      </c>
      <c r="T2042" t="s">
        <v>0</v>
      </c>
    </row>
    <row r="2043" spans="1:20" x14ac:dyDescent="0.25">
      <c r="A2043">
        <v>21500489</v>
      </c>
      <c r="B2043" t="s">
        <v>4</v>
      </c>
      <c r="C2043" t="s">
        <v>9</v>
      </c>
      <c r="D2043">
        <v>22</v>
      </c>
      <c r="E2043">
        <v>23</v>
      </c>
      <c r="F2043">
        <v>1</v>
      </c>
      <c r="G2043">
        <v>1</v>
      </c>
      <c r="H2043" s="1">
        <v>4.953703703703703E-4</v>
      </c>
      <c r="I2043">
        <v>2015</v>
      </c>
      <c r="J2043" t="s">
        <v>12</v>
      </c>
      <c r="K2043" s="2" t="str">
        <f>HYPERLINK("https://www.nba.com/stats/events?CFID=&amp;CFPARAMS=&amp;GameEventID=92&amp;GameID=0021500489&amp;Season=2015-16&amp;flag=1&amp;title=Henderson%2019'%20Jump%20Shot%20(2%20PTS)%20(Leonard%201%20AST)", "Henderson 19' Jump Shot (2 PTS) (Leonard 1 AST)")</f>
        <v>Henderson 19' Jump Shot (2 PTS) (Leonard 1 AST)</v>
      </c>
      <c r="L2043" s="2" t="str">
        <f>HYPERLINK("https://www.nba.com/game/...-vs-...-0021500489/play-by-play?watchFullGame=true", "POR vs UTA - Q1 00:42.80")</f>
        <v>POR vs UTA - Q1 00:42.80</v>
      </c>
      <c r="M2043">
        <v>19</v>
      </c>
      <c r="N2043">
        <v>187</v>
      </c>
      <c r="O2043">
        <v>-5</v>
      </c>
      <c r="P2043">
        <v>187</v>
      </c>
      <c r="Q2043">
        <v>-5</v>
      </c>
      <c r="R2043" t="s">
        <v>0</v>
      </c>
      <c r="S2043" t="s">
        <v>0</v>
      </c>
      <c r="T2043" t="s">
        <v>0</v>
      </c>
    </row>
    <row r="2044" spans="1:20" x14ac:dyDescent="0.25">
      <c r="A2044">
        <v>21500532</v>
      </c>
      <c r="B2044" t="s">
        <v>10</v>
      </c>
      <c r="C2044" t="s">
        <v>9</v>
      </c>
      <c r="D2044">
        <v>9</v>
      </c>
      <c r="E2044">
        <v>5</v>
      </c>
      <c r="F2044">
        <v>4</v>
      </c>
      <c r="G2044">
        <v>1</v>
      </c>
      <c r="H2044" s="1">
        <v>6.6898148148148151E-3</v>
      </c>
      <c r="I2044">
        <v>2015</v>
      </c>
      <c r="J2044" t="s">
        <v>7</v>
      </c>
      <c r="K2044" s="2" t="str">
        <f>HYPERLINK("https://www.nba.com/stats/events?CFID=&amp;CFPARAMS=&amp;GameEventID=13&amp;GameID=0021500532&amp;Season=2015-16&amp;flag=1&amp;title=Green%20%203PT%20Jump%20Shot%20(3%20PTS)%20(Leonard%201%20AST)", "Green  3PT Jump Shot (3 PTS) (Leonard 1 AST)")</f>
        <v>Green  3PT Jump Shot (3 PTS) (Leonard 1 AST)</v>
      </c>
      <c r="L2044" s="2" t="str">
        <f>HYPERLINK("https://www.nba.com/game/...-vs-...-0021500532/play-by-play?watchFullGame=true", "SAS vs UTA - Q1 09:38.00")</f>
        <v>SAS vs UTA - Q1 09:38.00</v>
      </c>
      <c r="M2044">
        <v>0</v>
      </c>
      <c r="N2044">
        <v>227</v>
      </c>
      <c r="O2044">
        <v>7</v>
      </c>
      <c r="P2044">
        <v>227</v>
      </c>
      <c r="Q2044">
        <v>7</v>
      </c>
      <c r="R2044" t="s">
        <v>0</v>
      </c>
      <c r="S2044" t="s">
        <v>0</v>
      </c>
      <c r="T2044" t="s">
        <v>0</v>
      </c>
    </row>
    <row r="2045" spans="1:20" x14ac:dyDescent="0.25">
      <c r="A2045">
        <v>21500590</v>
      </c>
      <c r="B2045" t="s">
        <v>4</v>
      </c>
      <c r="C2045" t="s">
        <v>20</v>
      </c>
      <c r="D2045">
        <v>48</v>
      </c>
      <c r="E2045">
        <v>55</v>
      </c>
      <c r="F2045">
        <v>7</v>
      </c>
      <c r="G2045">
        <v>3</v>
      </c>
      <c r="H2045" s="1">
        <v>6.8055555555555551E-3</v>
      </c>
      <c r="I2045">
        <v>2015</v>
      </c>
      <c r="J2045" t="s">
        <v>7</v>
      </c>
      <c r="K2045" s="2" t="str">
        <f>HYPERLINK("https://www.nba.com/stats/events?CFID=&amp;CFPARAMS=&amp;GameEventID=257&amp;GameID=0021500590&amp;Season=2015-16&amp;flag=1&amp;title=Duncan%20%20Cutting%20Layup%20Shot%20(3%20PTS)%20(Leonard%204%20AST)", "Duncan  Cutting Layup Shot (3 PTS) (Leonard 4 AST)")</f>
        <v>Duncan  Cutting Layup Shot (3 PTS) (Leonard 4 AST)</v>
      </c>
      <c r="L2045" s="2" t="str">
        <f>HYPERLINK("https://www.nba.com/game/...-vs-...-0021500590/play-by-play?watchFullGame=true", "SAS vs CLE - Q3 09:48.00")</f>
        <v>SAS vs CLE - Q3 09:48.00</v>
      </c>
      <c r="M2045">
        <v>0</v>
      </c>
      <c r="N2045">
        <v>-1</v>
      </c>
      <c r="O2045">
        <v>3</v>
      </c>
      <c r="P2045">
        <v>-1</v>
      </c>
      <c r="Q2045">
        <v>3</v>
      </c>
      <c r="R2045" t="s">
        <v>0</v>
      </c>
      <c r="S2045" t="s">
        <v>0</v>
      </c>
      <c r="T2045" t="s">
        <v>0</v>
      </c>
    </row>
    <row r="2046" spans="1:20" x14ac:dyDescent="0.25">
      <c r="A2046">
        <v>21500719</v>
      </c>
      <c r="B2046" t="s">
        <v>10</v>
      </c>
      <c r="C2046" t="s">
        <v>9</v>
      </c>
      <c r="D2046">
        <v>72</v>
      </c>
      <c r="E2046">
        <v>69</v>
      </c>
      <c r="F2046">
        <v>3</v>
      </c>
      <c r="G2046">
        <v>4</v>
      </c>
      <c r="H2046" s="1">
        <v>6.5509259259259262E-3</v>
      </c>
      <c r="I2046">
        <v>2015</v>
      </c>
      <c r="J2046" t="s">
        <v>12</v>
      </c>
      <c r="K2046" s="2" t="str">
        <f>HYPERLINK("https://www.nba.com/stats/events?CFID=&amp;CFPARAMS=&amp;GameEventID=408&amp;GameID=0021500719&amp;Season=2015-16&amp;flag=1&amp;title=Henderson%20%203PT%20Jump%20Shot%20(9%20PTS)%20(Leonard%201%20AST)", "Henderson  3PT Jump Shot (9 PTS) (Leonard 1 AST)")</f>
        <v>Henderson  3PT Jump Shot (9 PTS) (Leonard 1 AST)</v>
      </c>
      <c r="L2046" s="2" t="str">
        <f>HYPERLINK("https://www.nba.com/game/...-vs-...-0021500719/play-by-play?watchFullGame=true", "POR vs MIN - Q4 09:26.00")</f>
        <v>POR vs MIN - Q4 09:26.00</v>
      </c>
      <c r="M2046">
        <v>0</v>
      </c>
      <c r="N2046">
        <v>-223</v>
      </c>
      <c r="O2046">
        <v>2</v>
      </c>
      <c r="P2046">
        <v>-223</v>
      </c>
      <c r="Q2046">
        <v>2</v>
      </c>
      <c r="R2046" t="s">
        <v>0</v>
      </c>
      <c r="S2046" t="s">
        <v>0</v>
      </c>
      <c r="T2046" t="s">
        <v>0</v>
      </c>
    </row>
    <row r="2047" spans="1:20" x14ac:dyDescent="0.25">
      <c r="A2047">
        <v>21800909</v>
      </c>
      <c r="B2047" t="s">
        <v>10</v>
      </c>
      <c r="C2047" t="s">
        <v>9</v>
      </c>
      <c r="D2047">
        <v>3</v>
      </c>
      <c r="E2047">
        <v>2</v>
      </c>
      <c r="F2047">
        <v>1</v>
      </c>
      <c r="G2047">
        <v>1</v>
      </c>
      <c r="H2047" s="1">
        <v>7.4768518518518517E-3</v>
      </c>
      <c r="I2047">
        <v>2018</v>
      </c>
      <c r="J2047" t="s">
        <v>1</v>
      </c>
      <c r="K2047" s="2" t="str">
        <f>HYPERLINK("https://www.nba.com/stats/events?CFID=&amp;CFPARAMS=&amp;GameEventID=15&amp;GameID=0021800909&amp;Season=2018-19&amp;flag=1&amp;title=Ibaka%2026'%203PT%20Jump%20Shot%20(3%20PTS)%20(Leonard%201%20AST)", "Ibaka 26' 3PT Jump Shot (3 PTS) (Leonard 1 AST)")</f>
        <v>Ibaka 26' 3PT Jump Shot (3 PTS) (Leonard 1 AST)</v>
      </c>
      <c r="L2047" s="2" t="str">
        <f>HYPERLINK("https://www.nba.com/game/...-vs-...-0021800909/play-by-play?watchFullGame=true", "TOR vs BOS - Q1 10:46.00")</f>
        <v>TOR vs BOS - Q1 10:46.00</v>
      </c>
      <c r="M2047">
        <v>26</v>
      </c>
      <c r="N2047">
        <v>-168</v>
      </c>
      <c r="O2047">
        <v>200</v>
      </c>
      <c r="P2047">
        <v>-168</v>
      </c>
      <c r="Q2047">
        <v>200</v>
      </c>
      <c r="R2047" t="s">
        <v>0</v>
      </c>
      <c r="S2047" t="s">
        <v>0</v>
      </c>
      <c r="T2047" t="s">
        <v>0</v>
      </c>
    </row>
    <row r="2048" spans="1:20" x14ac:dyDescent="0.25">
      <c r="A2048">
        <v>21801023</v>
      </c>
      <c r="B2048" t="s">
        <v>4</v>
      </c>
      <c r="C2048" t="s">
        <v>9</v>
      </c>
      <c r="D2048">
        <v>44</v>
      </c>
      <c r="E2048">
        <v>39</v>
      </c>
      <c r="F2048">
        <v>5</v>
      </c>
      <c r="G2048">
        <v>2</v>
      </c>
      <c r="H2048" s="1">
        <v>4.1550925925925922E-3</v>
      </c>
      <c r="I2048">
        <v>2018</v>
      </c>
      <c r="J2048" t="s">
        <v>1</v>
      </c>
      <c r="K2048" s="2" t="str">
        <f>HYPERLINK("https://www.nba.com/stats/events?CFID=&amp;CFPARAMS=&amp;GameEventID=261&amp;GameID=0021801023&amp;Season=2018-19&amp;flag=1&amp;title=Lin%2023'%20Jump%20Shot%20(4%20PTS)%20(Leonard%203%20AST)", "Lin 23' Jump Shot (4 PTS) (Leonard 3 AST)")</f>
        <v>Lin 23' Jump Shot (4 PTS) (Leonard 3 AST)</v>
      </c>
      <c r="L2048" s="2" t="str">
        <f>HYPERLINK("https://www.nba.com/game/...-vs-...-0021801023/play-by-play?watchFullGame=true", "TOR vs LAL - Q2 05:59.00")</f>
        <v>TOR vs LAL - Q2 05:59.00</v>
      </c>
      <c r="M2048">
        <v>23</v>
      </c>
      <c r="N2048">
        <v>-195</v>
      </c>
      <c r="O2048">
        <v>131</v>
      </c>
      <c r="P2048">
        <v>-195</v>
      </c>
      <c r="Q2048">
        <v>131</v>
      </c>
      <c r="R2048" t="s">
        <v>0</v>
      </c>
      <c r="S2048" t="s">
        <v>0</v>
      </c>
      <c r="T2048" t="s">
        <v>0</v>
      </c>
    </row>
    <row r="2049" spans="1:20" x14ac:dyDescent="0.25">
      <c r="A2049">
        <v>21801083</v>
      </c>
      <c r="B2049" t="s">
        <v>4</v>
      </c>
      <c r="C2049" t="s">
        <v>20</v>
      </c>
      <c r="D2049">
        <v>85</v>
      </c>
      <c r="E2049">
        <v>88</v>
      </c>
      <c r="F2049">
        <v>3</v>
      </c>
      <c r="G2049">
        <v>4</v>
      </c>
      <c r="H2049" s="1">
        <v>7.2569444444444443E-3</v>
      </c>
      <c r="I2049">
        <v>2018</v>
      </c>
      <c r="J2049" t="s">
        <v>1</v>
      </c>
      <c r="K2049" s="2" t="str">
        <f>HYPERLINK("https://www.nba.com/stats/events?CFID=&amp;CFPARAMS=&amp;GameEventID=484&amp;GameID=0021801083&amp;Season=2018-19&amp;flag=1&amp;title=Ibaka%201'%20Cutting%20Layup%20Shot%20(9%20PTS)%20(Leonard%203%20AST)", "Ibaka 1' Cutting Layup Shot (9 PTS) (Leonard 3 AST)")</f>
        <v>Ibaka 1' Cutting Layup Shot (9 PTS) (Leonard 3 AST)</v>
      </c>
      <c r="L2049" s="2" t="str">
        <f>HYPERLINK("https://www.nba.com/game/...-vs-...-0021801083/play-by-play?watchFullGame=true", "TOR vs OKC - Q4 10:27.00")</f>
        <v>TOR vs OKC - Q4 10:27.00</v>
      </c>
      <c r="M2049">
        <v>1</v>
      </c>
      <c r="N2049">
        <v>-5</v>
      </c>
      <c r="O2049">
        <v>9</v>
      </c>
      <c r="P2049">
        <v>-5</v>
      </c>
      <c r="Q2049">
        <v>9</v>
      </c>
      <c r="R2049" t="s">
        <v>0</v>
      </c>
      <c r="S2049" t="s">
        <v>0</v>
      </c>
      <c r="T2049" t="s">
        <v>0</v>
      </c>
    </row>
    <row r="2050" spans="1:20" x14ac:dyDescent="0.25">
      <c r="A2050">
        <v>21801156</v>
      </c>
      <c r="B2050" t="s">
        <v>10</v>
      </c>
      <c r="C2050" t="s">
        <v>9</v>
      </c>
      <c r="D2050">
        <v>52</v>
      </c>
      <c r="E2050">
        <v>50</v>
      </c>
      <c r="F2050">
        <v>2</v>
      </c>
      <c r="G2050">
        <v>2</v>
      </c>
      <c r="H2050" s="1">
        <v>1.261574074074074E-3</v>
      </c>
      <c r="I2050">
        <v>2018</v>
      </c>
      <c r="J2050" t="s">
        <v>1</v>
      </c>
      <c r="K2050" s="2" t="str">
        <f>HYPERLINK("https://www.nba.com/stats/events?CFID=&amp;CFPARAMS=&amp;GameEventID=296&amp;GameID=0021801156&amp;Season=2018-19&amp;flag=1&amp;title=Gasol%2025'%203PT%20Jump%20Shot%20(8%20PTS)%20(Leonard%205%20AST)", "Gasol 25' 3PT Jump Shot (8 PTS) (Leonard 5 AST)")</f>
        <v>Gasol 25' 3PT Jump Shot (8 PTS) (Leonard 5 AST)</v>
      </c>
      <c r="L2050" s="2" t="str">
        <f>HYPERLINK("https://www.nba.com/game/...-vs-...-0021801156/play-by-play?watchFullGame=true", "TOR vs ORL - Q2 01:49.00")</f>
        <v>TOR vs ORL - Q2 01:49.00</v>
      </c>
      <c r="M2050">
        <v>25</v>
      </c>
      <c r="N2050">
        <v>84</v>
      </c>
      <c r="O2050">
        <v>239</v>
      </c>
      <c r="P2050">
        <v>84</v>
      </c>
      <c r="Q2050">
        <v>239</v>
      </c>
      <c r="R2050" t="s">
        <v>0</v>
      </c>
      <c r="S2050" t="s">
        <v>0</v>
      </c>
      <c r="T2050" t="s">
        <v>0</v>
      </c>
    </row>
    <row r="2051" spans="1:20" x14ac:dyDescent="0.25">
      <c r="A2051">
        <v>21600657</v>
      </c>
      <c r="B2051" t="s">
        <v>4</v>
      </c>
      <c r="C2051" t="s">
        <v>9</v>
      </c>
      <c r="D2051">
        <v>45</v>
      </c>
      <c r="E2051">
        <v>42</v>
      </c>
      <c r="F2051">
        <v>3</v>
      </c>
      <c r="G2051">
        <v>2</v>
      </c>
      <c r="H2051" s="1">
        <v>4.2361111111111115E-3</v>
      </c>
      <c r="I2051">
        <v>2016</v>
      </c>
      <c r="J2051" t="s">
        <v>7</v>
      </c>
      <c r="K2051" s="2" t="str">
        <f>HYPERLINK("https://www.nba.com/stats/events?CFID=&amp;CFPARAMS=&amp;GameEventID=199&amp;GameID=0021600657&amp;Season=2016-17&amp;flag=1&amp;title=Murray%208'%20Jump%20Shot%20(6%20PTS)%20(Leonard%202%20AST)", "Murray 8' Jump Shot (6 PTS) (Leonard 2 AST)")</f>
        <v>Murray 8' Jump Shot (6 PTS) (Leonard 2 AST)</v>
      </c>
      <c r="L2051" s="2" t="str">
        <f>HYPERLINK("https://www.nba.com/game/...-vs-...-0021600657/play-by-play?watchFullGame=true", "SAS vs CLE - Q2 06:06.00")</f>
        <v>SAS vs CLE - Q2 06:06.00</v>
      </c>
      <c r="M2051">
        <v>8</v>
      </c>
      <c r="N2051">
        <v>35</v>
      </c>
      <c r="O2051">
        <v>75</v>
      </c>
      <c r="P2051">
        <v>35</v>
      </c>
      <c r="Q2051">
        <v>75</v>
      </c>
      <c r="R2051" t="s">
        <v>0</v>
      </c>
      <c r="S2051" t="s">
        <v>0</v>
      </c>
      <c r="T2051" t="s">
        <v>0</v>
      </c>
    </row>
    <row r="2052" spans="1:20" x14ac:dyDescent="0.25">
      <c r="A2052">
        <v>21600689</v>
      </c>
      <c r="B2052" t="s">
        <v>4</v>
      </c>
      <c r="C2052" t="s">
        <v>9</v>
      </c>
      <c r="D2052">
        <v>89</v>
      </c>
      <c r="E2052">
        <v>83</v>
      </c>
      <c r="F2052">
        <v>6</v>
      </c>
      <c r="G2052">
        <v>4</v>
      </c>
      <c r="H2052" s="1">
        <v>6.6087962962962966E-3</v>
      </c>
      <c r="I2052">
        <v>2016</v>
      </c>
      <c r="J2052" t="s">
        <v>12</v>
      </c>
      <c r="K2052" s="2" t="str">
        <f>HYPERLINK("https://www.nba.com/stats/events?CFID=&amp;CFPARAMS=&amp;GameEventID=408&amp;GameID=0021600689&amp;Season=2016-17&amp;flag=1&amp;title=Crabbe%2021'%20Jump%20Shot%20(10%20PTS)%20(Leonard%201%20AST)", "Crabbe 21' Jump Shot (10 PTS) (Leonard 1 AST)")</f>
        <v>Crabbe 21' Jump Shot (10 PTS) (Leonard 1 AST)</v>
      </c>
      <c r="L2052" s="2" t="str">
        <f>HYPERLINK("https://www.nba.com/game/...-vs-...-0021600689/play-by-play?watchFullGame=true", "POR vs LAL - Q4 09:31.00")</f>
        <v>POR vs LAL - Q4 09:31.00</v>
      </c>
      <c r="M2052">
        <v>21</v>
      </c>
      <c r="N2052">
        <v>-30</v>
      </c>
      <c r="O2052">
        <v>205</v>
      </c>
      <c r="P2052">
        <v>-30</v>
      </c>
      <c r="Q2052">
        <v>205</v>
      </c>
      <c r="R2052" t="s">
        <v>0</v>
      </c>
      <c r="S2052" t="s">
        <v>0</v>
      </c>
      <c r="T2052" t="s">
        <v>0</v>
      </c>
    </row>
    <row r="2053" spans="1:20" x14ac:dyDescent="0.25">
      <c r="A2053">
        <v>21600701</v>
      </c>
      <c r="B2053" t="s">
        <v>10</v>
      </c>
      <c r="C2053" t="s">
        <v>9</v>
      </c>
      <c r="D2053">
        <v>90</v>
      </c>
      <c r="E2053">
        <v>95</v>
      </c>
      <c r="F2053">
        <v>5</v>
      </c>
      <c r="G2053">
        <v>4</v>
      </c>
      <c r="H2053" s="1">
        <v>5.0462962962962961E-3</v>
      </c>
      <c r="I2053">
        <v>2016</v>
      </c>
      <c r="J2053" t="s">
        <v>7</v>
      </c>
      <c r="K2053" s="2" t="str">
        <f>HYPERLINK("https://www.nba.com/stats/events?CFID=&amp;CFPARAMS=&amp;GameEventID=477&amp;GameID=0021600701&amp;Season=2016-17&amp;flag=1&amp;title=Green%2026'%203PT%20Jump%20Shot%20(8%20PTS)%20(Leonard%206%20AST)", "Green 26' 3PT Jump Shot (8 PTS) (Leonard 6 AST)")</f>
        <v>Green 26' 3PT Jump Shot (8 PTS) (Leonard 6 AST)</v>
      </c>
      <c r="L2053" s="2" t="str">
        <f>HYPERLINK("https://www.nba.com/game/...-vs-...-0021600701/play-by-play?watchFullGame=true", "SAS vs NOP - Q4 07:16.00")</f>
        <v>SAS vs NOP - Q4 07:16.00</v>
      </c>
      <c r="M2053">
        <v>26</v>
      </c>
      <c r="N2053">
        <v>187</v>
      </c>
      <c r="O2053">
        <v>180</v>
      </c>
      <c r="P2053">
        <v>187</v>
      </c>
      <c r="Q2053">
        <v>180</v>
      </c>
      <c r="R2053" t="s">
        <v>0</v>
      </c>
      <c r="S2053" t="s">
        <v>0</v>
      </c>
      <c r="T2053" t="s">
        <v>0</v>
      </c>
    </row>
    <row r="2054" spans="1:20" x14ac:dyDescent="0.25">
      <c r="A2054">
        <v>21600825</v>
      </c>
      <c r="B2054" t="s">
        <v>10</v>
      </c>
      <c r="C2054" t="s">
        <v>9</v>
      </c>
      <c r="D2054">
        <v>49</v>
      </c>
      <c r="E2054">
        <v>47</v>
      </c>
      <c r="F2054">
        <v>2</v>
      </c>
      <c r="G2054">
        <v>2</v>
      </c>
      <c r="H2054" s="1">
        <v>5.7291666666666667E-4</v>
      </c>
      <c r="I2054">
        <v>2016</v>
      </c>
      <c r="J2054" t="s">
        <v>7</v>
      </c>
      <c r="K2054" s="2" t="str">
        <f>HYPERLINK("https://www.nba.com/stats/events?CFID=&amp;CFPARAMS=&amp;GameEventID=230&amp;GameID=0021600825&amp;Season=2016-17&amp;flag=1&amp;title=Mills%20%203PT%20Jump%20Shot%20(6%20PTS)%20(Leonard%202%20AST)", "Mills  3PT Jump Shot (6 PTS) (Leonard 2 AST)")</f>
        <v>Mills  3PT Jump Shot (6 PTS) (Leonard 2 AST)</v>
      </c>
      <c r="L2054" s="2" t="str">
        <f>HYPERLINK("https://www.nba.com/game/...-vs-...-0021600825/play-by-play?watchFullGame=true", "SAS vs IND - Q2 00:49.50")</f>
        <v>SAS vs IND - Q2 00:49.50</v>
      </c>
      <c r="M2054">
        <v>0</v>
      </c>
      <c r="N2054">
        <v>228</v>
      </c>
      <c r="O2054">
        <v>18</v>
      </c>
      <c r="P2054">
        <v>228</v>
      </c>
      <c r="Q2054">
        <v>18</v>
      </c>
      <c r="R2054" t="s">
        <v>0</v>
      </c>
      <c r="S2054" t="s">
        <v>0</v>
      </c>
      <c r="T2054" t="s">
        <v>0</v>
      </c>
    </row>
    <row r="2055" spans="1:20" x14ac:dyDescent="0.25">
      <c r="A2055">
        <v>21600942</v>
      </c>
      <c r="B2055" t="s">
        <v>10</v>
      </c>
      <c r="C2055" t="s">
        <v>9</v>
      </c>
      <c r="D2055">
        <v>62</v>
      </c>
      <c r="E2055">
        <v>69</v>
      </c>
      <c r="F2055">
        <v>7</v>
      </c>
      <c r="G2055">
        <v>3</v>
      </c>
      <c r="H2055" s="1">
        <v>4.409722222222222E-3</v>
      </c>
      <c r="I2055">
        <v>2016</v>
      </c>
      <c r="J2055" t="s">
        <v>7</v>
      </c>
      <c r="K2055" s="2" t="str">
        <f>HYPERLINK("https://www.nba.com/stats/events?CFID=&amp;CFPARAMS=&amp;GameEventID=260&amp;GameID=0021600942&amp;Season=2016-17&amp;flag=1&amp;title=Parker%2025'%203PT%20Jump%20Shot%20(10%20PTS)%20(Leonard%203%20AST)", "Parker 25' 3PT Jump Shot (10 PTS) (Leonard 3 AST)")</f>
        <v>Parker 25' 3PT Jump Shot (10 PTS) (Leonard 3 AST)</v>
      </c>
      <c r="L2055" s="2" t="str">
        <f>HYPERLINK("https://www.nba.com/game/...-vs-...-0021600942/play-by-play?watchFullGame=true", "SAS vs HOU - Q3 06:21.00")</f>
        <v>SAS vs HOU - Q3 06:21.00</v>
      </c>
      <c r="M2055">
        <v>25</v>
      </c>
      <c r="N2055">
        <v>225</v>
      </c>
      <c r="O2055">
        <v>100</v>
      </c>
      <c r="P2055">
        <v>225</v>
      </c>
      <c r="Q2055">
        <v>100</v>
      </c>
      <c r="R2055" t="s">
        <v>0</v>
      </c>
      <c r="S2055" t="s">
        <v>0</v>
      </c>
      <c r="T2055" t="s">
        <v>0</v>
      </c>
    </row>
    <row r="2056" spans="1:20" x14ac:dyDescent="0.25">
      <c r="A2056">
        <v>21601042</v>
      </c>
      <c r="B2056" t="s">
        <v>10</v>
      </c>
      <c r="C2056" t="s">
        <v>9</v>
      </c>
      <c r="D2056">
        <v>51</v>
      </c>
      <c r="E2056">
        <v>45</v>
      </c>
      <c r="F2056">
        <v>6</v>
      </c>
      <c r="G2056">
        <v>2</v>
      </c>
      <c r="H2056" s="1">
        <v>1.8287037037037037E-3</v>
      </c>
      <c r="I2056">
        <v>2016</v>
      </c>
      <c r="J2056" t="s">
        <v>7</v>
      </c>
      <c r="K2056" s="2" t="str">
        <f>HYPERLINK("https://www.nba.com/stats/events?CFID=&amp;CFPARAMS=&amp;GameEventID=236&amp;GameID=0021601042&amp;Season=2016-17&amp;flag=1&amp;title=Gasol%20%203PT%20Jump%20Shot%20(8%20PTS)%20(Leonard%202%20AST)", "Gasol  3PT Jump Shot (8 PTS) (Leonard 2 AST)")</f>
        <v>Gasol  3PT Jump Shot (8 PTS) (Leonard 2 AST)</v>
      </c>
      <c r="L2056" s="2" t="str">
        <f>HYPERLINK("https://www.nba.com/game/...-vs-...-0021601042/play-by-play?watchFullGame=true", "SAS vs SAC - Q2 02:38.00")</f>
        <v>SAS vs SAC - Q2 02:38.00</v>
      </c>
      <c r="M2056">
        <v>0</v>
      </c>
      <c r="N2056">
        <v>-230</v>
      </c>
      <c r="O2056">
        <v>-11</v>
      </c>
      <c r="P2056">
        <v>-230</v>
      </c>
      <c r="Q2056">
        <v>-11</v>
      </c>
      <c r="R2056" t="s">
        <v>0</v>
      </c>
      <c r="S2056" t="s">
        <v>0</v>
      </c>
      <c r="T2056" t="s">
        <v>0</v>
      </c>
    </row>
    <row r="2057" spans="1:20" x14ac:dyDescent="0.25">
      <c r="A2057">
        <v>21601099</v>
      </c>
      <c r="B2057" t="s">
        <v>4</v>
      </c>
      <c r="C2057" t="s">
        <v>5</v>
      </c>
      <c r="D2057">
        <v>46</v>
      </c>
      <c r="E2057">
        <v>32</v>
      </c>
      <c r="F2057">
        <v>14</v>
      </c>
      <c r="G2057">
        <v>2</v>
      </c>
      <c r="H2057" s="1">
        <v>3.8773148148148148E-3</v>
      </c>
      <c r="I2057">
        <v>2016</v>
      </c>
      <c r="J2057" t="s">
        <v>7</v>
      </c>
      <c r="K2057" s="2" t="str">
        <f>HYPERLINK("https://www.nba.com/stats/events?CFID=&amp;CFPARAMS=&amp;GameEventID=195&amp;GameID=0021601099&amp;Season=2016-17&amp;flag=1&amp;title=Lee%201'%20Layup%20(2%20PTS)%20(Leonard%204%20AST)", "Lee 1' Layup (2 PTS) (Leonard 4 AST)")</f>
        <v>Lee 1' Layup (2 PTS) (Leonard 4 AST)</v>
      </c>
      <c r="L2057" s="2" t="str">
        <f>HYPERLINK("https://www.nba.com/game/...-vs-...-0021601099/play-by-play?watchFullGame=true", "SAS vs CLE - Q2 05:35.00")</f>
        <v>SAS vs CLE - Q2 05:35.00</v>
      </c>
      <c r="M2057">
        <v>1</v>
      </c>
      <c r="N2057">
        <v>6</v>
      </c>
      <c r="O2057">
        <v>7</v>
      </c>
      <c r="P2057">
        <v>6</v>
      </c>
      <c r="Q2057">
        <v>7</v>
      </c>
      <c r="R2057" t="s">
        <v>0</v>
      </c>
      <c r="S2057" t="s">
        <v>0</v>
      </c>
      <c r="T2057" t="s">
        <v>0</v>
      </c>
    </row>
    <row r="2058" spans="1:20" x14ac:dyDescent="0.25">
      <c r="A2058">
        <v>21601164</v>
      </c>
      <c r="B2058" t="s">
        <v>10</v>
      </c>
      <c r="C2058" t="s">
        <v>9</v>
      </c>
      <c r="D2058">
        <v>84</v>
      </c>
      <c r="E2058">
        <v>101</v>
      </c>
      <c r="F2058">
        <v>17</v>
      </c>
      <c r="G2058">
        <v>4</v>
      </c>
      <c r="H2058" s="1">
        <v>1.0879629629629629E-3</v>
      </c>
      <c r="I2058">
        <v>2016</v>
      </c>
      <c r="J2058" t="s">
        <v>12</v>
      </c>
      <c r="K2058" s="2" t="str">
        <f>HYPERLINK("https://www.nba.com/stats/events?CFID=&amp;CFPARAMS=&amp;GameEventID=470&amp;GameID=0021601164&amp;Season=2016-17&amp;flag=1&amp;title=Layman%2025'%203PT%20Jump%20Shot%20(3%20PTS)%20(Leonard%201%20AST)", "Layman 25' 3PT Jump Shot (3 PTS) (Leonard 1 AST)")</f>
        <v>Layman 25' 3PT Jump Shot (3 PTS) (Leonard 1 AST)</v>
      </c>
      <c r="L2058" s="2" t="str">
        <f>HYPERLINK("https://www.nba.com/game/...-vs-...-0021601164/play-by-play?watchFullGame=true", "POR vs UTA - Q4 01:34.00")</f>
        <v>POR vs UTA - Q4 01:34.00</v>
      </c>
      <c r="M2058">
        <v>25</v>
      </c>
      <c r="N2058">
        <v>146</v>
      </c>
      <c r="O2058">
        <v>198</v>
      </c>
      <c r="P2058">
        <v>146</v>
      </c>
      <c r="Q2058">
        <v>198</v>
      </c>
      <c r="R2058" t="s">
        <v>0</v>
      </c>
      <c r="S2058" t="s">
        <v>0</v>
      </c>
      <c r="T2058" t="s">
        <v>0</v>
      </c>
    </row>
    <row r="2059" spans="1:20" x14ac:dyDescent="0.25">
      <c r="A2059">
        <v>21800316</v>
      </c>
      <c r="B2059" t="s">
        <v>10</v>
      </c>
      <c r="C2059" t="s">
        <v>3</v>
      </c>
      <c r="D2059">
        <v>20</v>
      </c>
      <c r="E2059">
        <v>6</v>
      </c>
      <c r="F2059">
        <v>14</v>
      </c>
      <c r="G2059">
        <v>1</v>
      </c>
      <c r="H2059" s="1">
        <v>5.1967592592592595E-3</v>
      </c>
      <c r="I2059">
        <v>2018</v>
      </c>
      <c r="J2059" t="s">
        <v>1</v>
      </c>
      <c r="K2059" s="2" t="str">
        <f>HYPERLINK("https://www.nba.com/stats/events?CFID=&amp;CFPARAMS=&amp;GameEventID=43&amp;GameID=0021800316&amp;Season=2018-19&amp;flag=1&amp;title=Lowry%203PT%20Running%20Jump%20Shot%20(3%20PTS)%20(Leonard%201%20AST)", "Lowry 3PT Running Jump Shot (3 PTS) (Leonard 1 AST)")</f>
        <v>Lowry 3PT Running Jump Shot (3 PTS) (Leonard 1 AST)</v>
      </c>
      <c r="L2059" s="2" t="str">
        <f>HYPERLINK("https://www.nba.com/game/...-vs-...-0021800316/play-by-play?watchFullGame=true", "TOR vs GSW - Q1 07:29.00")</f>
        <v>TOR vs GSW - Q1 07:29.00</v>
      </c>
      <c r="M2059">
        <v>0</v>
      </c>
      <c r="N2059">
        <v>-231</v>
      </c>
      <c r="O2059">
        <v>28</v>
      </c>
      <c r="P2059">
        <v>-231</v>
      </c>
      <c r="Q2059">
        <v>28</v>
      </c>
      <c r="R2059" t="s">
        <v>0</v>
      </c>
      <c r="S2059" t="s">
        <v>0</v>
      </c>
      <c r="T2059" t="s">
        <v>0</v>
      </c>
    </row>
    <row r="2060" spans="1:20" x14ac:dyDescent="0.25">
      <c r="A2060">
        <v>21800450</v>
      </c>
      <c r="B2060" t="s">
        <v>4</v>
      </c>
      <c r="C2060" t="s">
        <v>19</v>
      </c>
      <c r="D2060">
        <v>102</v>
      </c>
      <c r="E2060">
        <v>88</v>
      </c>
      <c r="F2060">
        <v>14</v>
      </c>
      <c r="G2060">
        <v>4</v>
      </c>
      <c r="H2060" s="1">
        <v>8.1712962962962963E-3</v>
      </c>
      <c r="I2060">
        <v>2018</v>
      </c>
      <c r="J2060" t="s">
        <v>12</v>
      </c>
      <c r="K2060" s="2" t="str">
        <f>HYPERLINK("https://www.nba.com/stats/events?CFID=&amp;CFPARAMS=&amp;GameEventID=474&amp;GameID=0021800450&amp;Season=2018-19&amp;flag=1&amp;title=Stauskas%2020'%20Pullup%20Jump%20Shot%20(6%20PTS)%20(Leonard%201%20AST)", "Stauskas 20' Pullup Jump Shot (6 PTS) (Leonard 1 AST)")</f>
        <v>Stauskas 20' Pullup Jump Shot (6 PTS) (Leonard 1 AST)</v>
      </c>
      <c r="L2060" s="2" t="str">
        <f>HYPERLINK("https://www.nba.com/game/...-vs-...-0021800450/play-by-play?watchFullGame=true", "POR vs LAC - Q4 11:46.00")</f>
        <v>POR vs LAC - Q4 11:46.00</v>
      </c>
      <c r="M2060">
        <v>20</v>
      </c>
      <c r="N2060">
        <v>38</v>
      </c>
      <c r="O2060">
        <v>196</v>
      </c>
      <c r="P2060">
        <v>38</v>
      </c>
      <c r="Q2060">
        <v>196</v>
      </c>
      <c r="R2060" t="s">
        <v>0</v>
      </c>
      <c r="S2060" t="s">
        <v>0</v>
      </c>
      <c r="T2060" t="s">
        <v>0</v>
      </c>
    </row>
    <row r="2061" spans="1:20" x14ac:dyDescent="0.25">
      <c r="A2061">
        <v>21800516</v>
      </c>
      <c r="B2061" t="s">
        <v>10</v>
      </c>
      <c r="C2061" t="s">
        <v>9</v>
      </c>
      <c r="D2061">
        <v>80</v>
      </c>
      <c r="E2061">
        <v>74</v>
      </c>
      <c r="F2061">
        <v>6</v>
      </c>
      <c r="G2061">
        <v>4</v>
      </c>
      <c r="H2061" s="1">
        <v>6.7708333333333336E-3</v>
      </c>
      <c r="I2061">
        <v>2018</v>
      </c>
      <c r="J2061" t="s">
        <v>12</v>
      </c>
      <c r="K2061" s="2" t="str">
        <f>HYPERLINK("https://www.nba.com/stats/events?CFID=&amp;CFPARAMS=&amp;GameEventID=552&amp;GameID=0021800516&amp;Season=2018-19&amp;flag=1&amp;title=Curry%2030'%203PT%20Jump%20Shot%20(5%20PTS)%20(Leonard%202%20AST)", "Curry 30' 3PT Jump Shot (5 PTS) (Leonard 2 AST)")</f>
        <v>Curry 30' 3PT Jump Shot (5 PTS) (Leonard 2 AST)</v>
      </c>
      <c r="L2061" s="2" t="str">
        <f>HYPERLINK("https://www.nba.com/game/...-vs-...-0021800516/play-by-play?watchFullGame=true", "POR vs GSW - Q4 09:45.00")</f>
        <v>POR vs GSW - Q4 09:45.00</v>
      </c>
      <c r="M2061">
        <v>30</v>
      </c>
      <c r="N2061">
        <v>155</v>
      </c>
      <c r="O2061">
        <v>260</v>
      </c>
      <c r="P2061">
        <v>155</v>
      </c>
      <c r="Q2061">
        <v>260</v>
      </c>
      <c r="R2061" t="s">
        <v>0</v>
      </c>
      <c r="S2061" t="s">
        <v>0</v>
      </c>
      <c r="T2061" t="s">
        <v>0</v>
      </c>
    </row>
    <row r="2062" spans="1:20" x14ac:dyDescent="0.25">
      <c r="A2062">
        <v>21800563</v>
      </c>
      <c r="B2062" t="s">
        <v>10</v>
      </c>
      <c r="C2062" t="s">
        <v>9</v>
      </c>
      <c r="D2062">
        <v>92</v>
      </c>
      <c r="E2062">
        <v>115</v>
      </c>
      <c r="F2062">
        <v>23</v>
      </c>
      <c r="G2062">
        <v>4</v>
      </c>
      <c r="H2062" s="1">
        <v>3.7847222222222223E-3</v>
      </c>
      <c r="I2062">
        <v>2018</v>
      </c>
      <c r="J2062" t="s">
        <v>1</v>
      </c>
      <c r="K2062" s="2" t="str">
        <f>HYPERLINK("https://www.nba.com/stats/events?CFID=&amp;CFPARAMS=&amp;GameEventID=581&amp;GameID=0021800563&amp;Season=2018-19&amp;flag=1&amp;title=Ibaka%2025'%203PT%20Jump%20Shot%20(14%20PTS)%20(Leonard%205%20AST)", "Ibaka 25' 3PT Jump Shot (14 PTS) (Leonard 5 AST)")</f>
        <v>Ibaka 25' 3PT Jump Shot (14 PTS) (Leonard 5 AST)</v>
      </c>
      <c r="L2062" s="2" t="str">
        <f>HYPERLINK("https://www.nba.com/game/...-vs-...-0021800563/play-by-play?watchFullGame=true", "TOR vs SAS - Q4 05:27.00")</f>
        <v>TOR vs SAS - Q4 05:27.00</v>
      </c>
      <c r="M2062">
        <v>25</v>
      </c>
      <c r="N2062">
        <v>138</v>
      </c>
      <c r="O2062">
        <v>209</v>
      </c>
      <c r="P2062">
        <v>138</v>
      </c>
      <c r="Q2062">
        <v>209</v>
      </c>
      <c r="R2062" t="s">
        <v>0</v>
      </c>
      <c r="S2062" t="s">
        <v>0</v>
      </c>
      <c r="T2062" t="s">
        <v>0</v>
      </c>
    </row>
    <row r="2063" spans="1:20" x14ac:dyDescent="0.25">
      <c r="A2063">
        <v>21800724</v>
      </c>
      <c r="B2063" t="s">
        <v>4</v>
      </c>
      <c r="C2063" t="s">
        <v>20</v>
      </c>
      <c r="D2063">
        <v>79</v>
      </c>
      <c r="E2063">
        <v>92</v>
      </c>
      <c r="F2063">
        <v>13</v>
      </c>
      <c r="G2063">
        <v>3</v>
      </c>
      <c r="H2063" s="1">
        <v>1.6898148148148148E-3</v>
      </c>
      <c r="I2063">
        <v>2018</v>
      </c>
      <c r="J2063" t="s">
        <v>1</v>
      </c>
      <c r="K2063" s="2" t="str">
        <f>HYPERLINK("https://www.nba.com/stats/events?CFID=&amp;CFPARAMS=&amp;GameEventID=427&amp;GameID=0021800724&amp;Season=2018-19&amp;flag=1&amp;title=Siakam%203'%20Cutting%20Layup%20Shot%20(14%20PTS)%20(Leonard%204%20AST)", "Siakam 3' Cutting Layup Shot (14 PTS) (Leonard 4 AST)")</f>
        <v>Siakam 3' Cutting Layup Shot (14 PTS) (Leonard 4 AST)</v>
      </c>
      <c r="L2063" s="2" t="str">
        <f>HYPERLINK("https://www.nba.com/game/...-vs-...-0021800724/play-by-play?watchFullGame=true", "TOR vs HOU - Q3 02:26.00")</f>
        <v>TOR vs HOU - Q3 02:26.00</v>
      </c>
      <c r="M2063">
        <v>3</v>
      </c>
      <c r="N2063">
        <v>26</v>
      </c>
      <c r="O2063">
        <v>7</v>
      </c>
      <c r="P2063">
        <v>26</v>
      </c>
      <c r="Q2063">
        <v>7</v>
      </c>
      <c r="R2063" t="s">
        <v>0</v>
      </c>
      <c r="S2063" t="s">
        <v>0</v>
      </c>
      <c r="T2063" t="s">
        <v>0</v>
      </c>
    </row>
    <row r="2064" spans="1:20" x14ac:dyDescent="0.25">
      <c r="A2064">
        <v>21800766</v>
      </c>
      <c r="B2064" t="s">
        <v>10</v>
      </c>
      <c r="C2064" t="s">
        <v>9</v>
      </c>
      <c r="D2064">
        <v>86</v>
      </c>
      <c r="E2064">
        <v>96</v>
      </c>
      <c r="F2064">
        <v>10</v>
      </c>
      <c r="G2064">
        <v>4</v>
      </c>
      <c r="H2064" s="1">
        <v>3.8888888888888888E-3</v>
      </c>
      <c r="I2064">
        <v>2018</v>
      </c>
      <c r="J2064" t="s">
        <v>1</v>
      </c>
      <c r="K2064" s="2" t="str">
        <f>HYPERLINK("https://www.nba.com/stats/events?CFID=&amp;CFPARAMS=&amp;GameEventID=589&amp;GameID=0021800766&amp;Season=2018-19&amp;flag=1&amp;title=VanVleet%2030'%203PT%20Jump%20Shot%20(10%20PTS)%20(Leonard%202%20AST)", "VanVleet 30' 3PT Jump Shot (10 PTS) (Leonard 2 AST)")</f>
        <v>VanVleet 30' 3PT Jump Shot (10 PTS) (Leonard 2 AST)</v>
      </c>
      <c r="L2064" s="2" t="str">
        <f>HYPERLINK("https://www.nba.com/game/...-vs-...-0021800766/play-by-play?watchFullGame=true", "TOR vs MIL - Q4 05:36.00")</f>
        <v>TOR vs MIL - Q4 05:36.00</v>
      </c>
      <c r="M2064">
        <v>30</v>
      </c>
      <c r="N2064">
        <v>-147</v>
      </c>
      <c r="O2064">
        <v>263</v>
      </c>
      <c r="P2064">
        <v>-147</v>
      </c>
      <c r="Q2064">
        <v>263</v>
      </c>
      <c r="R2064" t="s">
        <v>0</v>
      </c>
      <c r="S2064" t="s">
        <v>0</v>
      </c>
      <c r="T2064" t="s">
        <v>0</v>
      </c>
    </row>
    <row r="2065" spans="1:20" x14ac:dyDescent="0.25">
      <c r="A2065">
        <v>21800842</v>
      </c>
      <c r="B2065" t="s">
        <v>4</v>
      </c>
      <c r="C2065" t="s">
        <v>9</v>
      </c>
      <c r="D2065">
        <v>9</v>
      </c>
      <c r="E2065">
        <v>12</v>
      </c>
      <c r="F2065">
        <v>3</v>
      </c>
      <c r="G2065">
        <v>1</v>
      </c>
      <c r="H2065" s="1">
        <v>5.2546296296296299E-3</v>
      </c>
      <c r="I2065">
        <v>2018</v>
      </c>
      <c r="J2065" t="s">
        <v>1</v>
      </c>
      <c r="K2065" s="2" t="str">
        <f>HYPERLINK("https://www.nba.com/stats/events?CFID=&amp;CFPARAMS=&amp;GameEventID=54&amp;GameID=0021800842&amp;Season=2018-19&amp;flag=1&amp;title=Siakam%2013'%20Jump%20Shot%20(2%20PTS)%20(Leonard%202%20AST)", "Siakam 13' Jump Shot (2 PTS) (Leonard 2 AST)")</f>
        <v>Siakam 13' Jump Shot (2 PTS) (Leonard 2 AST)</v>
      </c>
      <c r="L2065" s="2" t="str">
        <f>HYPERLINK("https://www.nba.com/game/...-vs-...-0021800842/play-by-play?watchFullGame=true", "TOR vs BKN - Q1 07:34.00")</f>
        <v>TOR vs BKN - Q1 07:34.00</v>
      </c>
      <c r="M2065">
        <v>13</v>
      </c>
      <c r="N2065">
        <v>67</v>
      </c>
      <c r="O2065">
        <v>117</v>
      </c>
      <c r="P2065">
        <v>67</v>
      </c>
      <c r="Q2065">
        <v>117</v>
      </c>
      <c r="R2065" t="s">
        <v>0</v>
      </c>
      <c r="S2065" t="s">
        <v>0</v>
      </c>
      <c r="T2065" t="s">
        <v>0</v>
      </c>
    </row>
    <row r="2066" spans="1:20" x14ac:dyDescent="0.25">
      <c r="A2066">
        <v>21800842</v>
      </c>
      <c r="B2066" t="s">
        <v>10</v>
      </c>
      <c r="C2066" t="s">
        <v>3</v>
      </c>
      <c r="D2066">
        <v>44</v>
      </c>
      <c r="E2066">
        <v>44</v>
      </c>
      <c r="F2066">
        <v>0</v>
      </c>
      <c r="G2066">
        <v>2</v>
      </c>
      <c r="H2066" s="1">
        <v>2.8703703703703703E-3</v>
      </c>
      <c r="I2066">
        <v>2018</v>
      </c>
      <c r="J2066" t="s">
        <v>1</v>
      </c>
      <c r="K2066" s="2" t="str">
        <f>HYPERLINK("https://www.nba.com/stats/events?CFID=&amp;CFPARAMS=&amp;GameEventID=249&amp;GameID=0021800842&amp;Season=2018-19&amp;flag=1&amp;title=Lowry%2024'%203PT%20Running%20Jump%20Shot%20(5%20PTS)%20(Leonard%204%20AST)", "Lowry 24' 3PT Running Jump Shot (5 PTS) (Leonard 4 AST)")</f>
        <v>Lowry 24' 3PT Running Jump Shot (5 PTS) (Leonard 4 AST)</v>
      </c>
      <c r="L2066" s="2" t="str">
        <f>HYPERLINK("https://www.nba.com/game/...-vs-...-0021800842/play-by-play?watchFullGame=true", "TOR vs BKN - Q2 04:08.00")</f>
        <v>TOR vs BKN - Q2 04:08.00</v>
      </c>
      <c r="M2066">
        <v>24</v>
      </c>
      <c r="N2066">
        <v>-195</v>
      </c>
      <c r="O2066">
        <v>145</v>
      </c>
      <c r="P2066">
        <v>-195</v>
      </c>
      <c r="Q2066">
        <v>145</v>
      </c>
      <c r="R2066" t="s">
        <v>0</v>
      </c>
      <c r="S2066" t="s">
        <v>0</v>
      </c>
      <c r="T2066" t="s">
        <v>0</v>
      </c>
    </row>
    <row r="2067" spans="1:20" x14ac:dyDescent="0.25">
      <c r="A2067">
        <v>21601161</v>
      </c>
      <c r="B2067" t="s">
        <v>4</v>
      </c>
      <c r="C2067" t="s">
        <v>17</v>
      </c>
      <c r="D2067">
        <v>86</v>
      </c>
      <c r="E2067">
        <v>84</v>
      </c>
      <c r="F2067">
        <v>2</v>
      </c>
      <c r="G2067">
        <v>5</v>
      </c>
      <c r="H2067" s="1">
        <v>2.8819444444444444E-3</v>
      </c>
      <c r="I2067">
        <v>2016</v>
      </c>
      <c r="J2067" t="s">
        <v>7</v>
      </c>
      <c r="K2067" s="2" t="str">
        <f>HYPERLINK("https://www.nba.com/stats/events?CFID=&amp;CFPARAMS=&amp;GameEventID=509&amp;GameID=0021601161&amp;Season=2016-17&amp;flag=1&amp;title=Simmons%206'%20Floating%20Jump%20Shot%20(8%20PTS)%20(Leonard%203%20AST)", "Simmons 6' Floating Jump Shot (8 PTS) (Leonard 3 AST)")</f>
        <v>Simmons 6' Floating Jump Shot (8 PTS) (Leonard 3 AST)</v>
      </c>
      <c r="L2067" s="2" t="str">
        <f>HYPERLINK("https://www.nba.com/game/...-vs-...-0021601161/play-by-play?watchFullGame=true", "SAS vs MEM - Q5 04:09.00")</f>
        <v>SAS vs MEM - Q5 04:09.00</v>
      </c>
      <c r="M2067">
        <v>6</v>
      </c>
      <c r="N2067">
        <v>55</v>
      </c>
      <c r="O2067">
        <v>33</v>
      </c>
      <c r="P2067">
        <v>55</v>
      </c>
      <c r="Q2067">
        <v>33</v>
      </c>
      <c r="R2067" t="s">
        <v>0</v>
      </c>
      <c r="S2067" t="s">
        <v>0</v>
      </c>
      <c r="T2067" t="s">
        <v>0</v>
      </c>
    </row>
    <row r="2068" spans="1:20" x14ac:dyDescent="0.25">
      <c r="A2068">
        <v>21601193</v>
      </c>
      <c r="B2068" t="s">
        <v>4</v>
      </c>
      <c r="C2068" t="s">
        <v>9</v>
      </c>
      <c r="D2068">
        <v>19</v>
      </c>
      <c r="E2068">
        <v>19</v>
      </c>
      <c r="F2068">
        <v>0</v>
      </c>
      <c r="G2068">
        <v>1</v>
      </c>
      <c r="H2068" s="1">
        <v>1.7592592592592592E-3</v>
      </c>
      <c r="I2068">
        <v>2016</v>
      </c>
      <c r="J2068" t="s">
        <v>7</v>
      </c>
      <c r="K2068" s="2" t="str">
        <f>HYPERLINK("https://www.nba.com/stats/events?CFID=&amp;CFPARAMS=&amp;GameEventID=87&amp;GameID=0021601193&amp;Season=2016-17&amp;flag=1&amp;title=Aldridge%2020'%20Jump%20Shot%20(6%20PTS)%20(Leonard%203%20AST)", "Aldridge 20' Jump Shot (6 PTS) (Leonard 3 AST)")</f>
        <v>Aldridge 20' Jump Shot (6 PTS) (Leonard 3 AST)</v>
      </c>
      <c r="L2068" s="2" t="str">
        <f>HYPERLINK("https://www.nba.com/game/...-vs-...-0021601193/play-by-play?watchFullGame=true", "SAS vs LAC - Q1 02:32.00")</f>
        <v>SAS vs LAC - Q1 02:32.00</v>
      </c>
      <c r="M2068">
        <v>20</v>
      </c>
      <c r="N2068">
        <v>19</v>
      </c>
      <c r="O2068">
        <v>203</v>
      </c>
      <c r="P2068">
        <v>19</v>
      </c>
      <c r="Q2068">
        <v>203</v>
      </c>
      <c r="R2068" t="s">
        <v>0</v>
      </c>
      <c r="S2068" t="s">
        <v>0</v>
      </c>
      <c r="T2068" t="s">
        <v>0</v>
      </c>
    </row>
    <row r="2069" spans="1:20" x14ac:dyDescent="0.25">
      <c r="A2069">
        <v>21601227</v>
      </c>
      <c r="B2069" t="s">
        <v>4</v>
      </c>
      <c r="C2069" t="s">
        <v>9</v>
      </c>
      <c r="D2069">
        <v>4</v>
      </c>
      <c r="E2069">
        <v>5</v>
      </c>
      <c r="F2069">
        <v>1</v>
      </c>
      <c r="G2069">
        <v>1</v>
      </c>
      <c r="H2069" s="1">
        <v>6.7129629629629631E-3</v>
      </c>
      <c r="I2069">
        <v>2016</v>
      </c>
      <c r="J2069" t="s">
        <v>7</v>
      </c>
      <c r="K2069" s="2" t="str">
        <f>HYPERLINK("https://www.nba.com/stats/events?CFID=&amp;CFPARAMS=&amp;GameEventID=19&amp;GameID=0021601227&amp;Season=2016-17&amp;flag=1&amp;title=Aldridge%2017'%20Jump%20Shot%20(2%20PTS)%20(Leonard%201%20AST)", "Aldridge 17' Jump Shot (2 PTS) (Leonard 1 AST)")</f>
        <v>Aldridge 17' Jump Shot (2 PTS) (Leonard 1 AST)</v>
      </c>
      <c r="L2069" s="2" t="str">
        <f>HYPERLINK("https://www.nba.com/game/...-vs-...-0021601227/play-by-play?watchFullGame=true", "SAS vs UTA - Q1 09:40.00")</f>
        <v>SAS vs UTA - Q1 09:40.00</v>
      </c>
      <c r="M2069">
        <v>17</v>
      </c>
      <c r="N2069">
        <v>-169</v>
      </c>
      <c r="O2069">
        <v>-1</v>
      </c>
      <c r="P2069">
        <v>-169</v>
      </c>
      <c r="Q2069">
        <v>-1</v>
      </c>
      <c r="R2069" t="s">
        <v>0</v>
      </c>
      <c r="S2069" t="s">
        <v>0</v>
      </c>
      <c r="T2069" t="s">
        <v>0</v>
      </c>
    </row>
    <row r="2070" spans="1:20" x14ac:dyDescent="0.25">
      <c r="A2070">
        <v>21700463</v>
      </c>
      <c r="B2070" t="s">
        <v>4</v>
      </c>
      <c r="C2070" t="s">
        <v>19</v>
      </c>
      <c r="D2070">
        <v>30</v>
      </c>
      <c r="E2070">
        <v>39</v>
      </c>
      <c r="F2070">
        <v>9</v>
      </c>
      <c r="G2070">
        <v>2</v>
      </c>
      <c r="H2070" s="1">
        <v>5.0115740740740737E-3</v>
      </c>
      <c r="I2070">
        <v>2017</v>
      </c>
      <c r="J2070" t="s">
        <v>12</v>
      </c>
      <c r="K2070" s="2" t="str">
        <f>HYPERLINK("https://www.nba.com/stats/events?CFID=&amp;CFPARAMS=&amp;GameEventID=194&amp;GameID=0021700463&amp;Season=2017-18&amp;flag=1&amp;title=Napier%2016'%20Pullup%20Jump%20Shot%20(6%20PTS)%20(Leonard%201%20AST)", "Napier 16' Pullup Jump Shot (6 PTS) (Leonard 1 AST)")</f>
        <v>Napier 16' Pullup Jump Shot (6 PTS) (Leonard 1 AST)</v>
      </c>
      <c r="L2070" s="2" t="str">
        <f>HYPERLINK("https://www.nba.com/game/...-vs-...-0021700463/play-by-play?watchFullGame=true", "POR vs SAS - Q2 07:13.00")</f>
        <v>POR vs SAS - Q2 07:13.00</v>
      </c>
      <c r="M2070">
        <v>16</v>
      </c>
      <c r="N2070">
        <v>-80</v>
      </c>
      <c r="O2070">
        <v>143</v>
      </c>
      <c r="P2070">
        <v>-80</v>
      </c>
      <c r="Q2070">
        <v>143</v>
      </c>
      <c r="R2070" t="s">
        <v>0</v>
      </c>
      <c r="S2070" t="s">
        <v>0</v>
      </c>
      <c r="T2070" t="s">
        <v>0</v>
      </c>
    </row>
    <row r="2071" spans="1:20" x14ac:dyDescent="0.25">
      <c r="A2071">
        <v>21700573</v>
      </c>
      <c r="B2071" t="s">
        <v>4</v>
      </c>
      <c r="C2071" t="s">
        <v>29</v>
      </c>
      <c r="D2071">
        <v>2</v>
      </c>
      <c r="E2071">
        <v>0</v>
      </c>
      <c r="F2071">
        <v>2</v>
      </c>
      <c r="G2071">
        <v>1</v>
      </c>
      <c r="H2071" s="1">
        <v>8.1597222222222227E-3</v>
      </c>
      <c r="I2071">
        <v>2017</v>
      </c>
      <c r="J2071" t="s">
        <v>7</v>
      </c>
      <c r="K2071" s="2" t="str">
        <f>HYPERLINK("https://www.nba.com/stats/events?CFID=&amp;CFPARAMS=&amp;GameEventID=7&amp;GameID=0021700573&amp;Season=2017-18&amp;flag=1&amp;title=Gasol%207'%20Driving%20Floating%20Jump%20Shot%20(2%20PTS)%20(Leonard%201%20AST)", "Gasol 7' Driving Floating Jump Shot (2 PTS) (Leonard 1 AST)")</f>
        <v>Gasol 7' Driving Floating Jump Shot (2 PTS) (Leonard 1 AST)</v>
      </c>
      <c r="L2071" s="2" t="str">
        <f>HYPERLINK("https://www.nba.com/game/...-vs-...-0021700573/play-by-play?watchFullGame=true", "SAS vs PHX - Q1 11:45.00")</f>
        <v>SAS vs PHX - Q1 11:45.00</v>
      </c>
      <c r="M2071">
        <v>7</v>
      </c>
      <c r="N2071">
        <v>67</v>
      </c>
      <c r="O2071">
        <v>25</v>
      </c>
      <c r="P2071">
        <v>67</v>
      </c>
      <c r="Q2071">
        <v>25</v>
      </c>
      <c r="R2071" t="s">
        <v>0</v>
      </c>
      <c r="S2071" t="s">
        <v>0</v>
      </c>
      <c r="T2071" t="s">
        <v>0</v>
      </c>
    </row>
    <row r="2072" spans="1:20" x14ac:dyDescent="0.25">
      <c r="A2072">
        <v>21800069</v>
      </c>
      <c r="B2072" t="s">
        <v>10</v>
      </c>
      <c r="C2072" t="s">
        <v>9</v>
      </c>
      <c r="D2072">
        <v>7</v>
      </c>
      <c r="E2072">
        <v>0</v>
      </c>
      <c r="F2072">
        <v>7</v>
      </c>
      <c r="G2072">
        <v>1</v>
      </c>
      <c r="H2072" s="1">
        <v>7.0254629629629634E-3</v>
      </c>
      <c r="I2072">
        <v>2018</v>
      </c>
      <c r="J2072" t="s">
        <v>1</v>
      </c>
      <c r="K2072" s="2" t="str">
        <f>HYPERLINK("https://www.nba.com/stats/events?CFID=&amp;CFPARAMS=&amp;GameEventID=24&amp;GameID=0021800069&amp;Season=2018-19&amp;flag=1&amp;title=Green%2026'%203PT%20Jump%20Shot%20(3%20PTS)%20(Leonard%201%20AST)", "Green 26' 3PT Jump Shot (3 PTS) (Leonard 1 AST)")</f>
        <v>Green 26' 3PT Jump Shot (3 PTS) (Leonard 1 AST)</v>
      </c>
      <c r="L2072" s="2" t="str">
        <f>HYPERLINK("https://www.nba.com/game/...-vs-...-0021800069/play-by-play?watchFullGame=true", "TOR vs DAL - Q1 10:07.00")</f>
        <v>TOR vs DAL - Q1 10:07.00</v>
      </c>
      <c r="M2072">
        <v>26</v>
      </c>
      <c r="N2072">
        <v>-163</v>
      </c>
      <c r="O2072">
        <v>199</v>
      </c>
      <c r="P2072">
        <v>-163</v>
      </c>
      <c r="Q2072">
        <v>199</v>
      </c>
      <c r="R2072" t="s">
        <v>0</v>
      </c>
      <c r="S2072" t="s">
        <v>0</v>
      </c>
      <c r="T2072" t="s">
        <v>0</v>
      </c>
    </row>
    <row r="2073" spans="1:20" x14ac:dyDescent="0.25">
      <c r="A2073">
        <v>21800293</v>
      </c>
      <c r="B2073" t="s">
        <v>10</v>
      </c>
      <c r="C2073" t="s">
        <v>9</v>
      </c>
      <c r="D2073">
        <v>96</v>
      </c>
      <c r="E2073">
        <v>100</v>
      </c>
      <c r="F2073">
        <v>4</v>
      </c>
      <c r="G2073">
        <v>4</v>
      </c>
      <c r="H2073" s="1">
        <v>1.5162037037037036E-3</v>
      </c>
      <c r="I2073">
        <v>2018</v>
      </c>
      <c r="J2073" t="s">
        <v>12</v>
      </c>
      <c r="K2073" s="2" t="str">
        <f>HYPERLINK("https://www.nba.com/stats/events?CFID=&amp;CFPARAMS=&amp;GameEventID=585&amp;GameID=0021800293&amp;Season=2018-19&amp;flag=1&amp;title=Lillard%2032'%203PT%20Jump%20Shot%20(26%20PTS)%20(Leonard%202%20AST)", "Lillard 32' 3PT Jump Shot (26 PTS) (Leonard 2 AST)")</f>
        <v>Lillard 32' 3PT Jump Shot (26 PTS) (Leonard 2 AST)</v>
      </c>
      <c r="L2073" s="2" t="str">
        <f>HYPERLINK("https://www.nba.com/game/...-vs-...-0021800293/play-by-play?watchFullGame=true", "POR vs LAC - Q4 02:11.00")</f>
        <v>POR vs LAC - Q4 02:11.00</v>
      </c>
      <c r="M2073">
        <v>32</v>
      </c>
      <c r="N2073">
        <v>83</v>
      </c>
      <c r="O2073">
        <v>310</v>
      </c>
      <c r="P2073">
        <v>83</v>
      </c>
      <c r="Q2073">
        <v>310</v>
      </c>
      <c r="R2073" t="s">
        <v>0</v>
      </c>
      <c r="S2073" t="s">
        <v>0</v>
      </c>
      <c r="T2073" t="s">
        <v>0</v>
      </c>
    </row>
    <row r="2074" spans="1:20" x14ac:dyDescent="0.25">
      <c r="A2074">
        <v>21800329</v>
      </c>
      <c r="B2074" t="s">
        <v>4</v>
      </c>
      <c r="C2074" t="s">
        <v>17</v>
      </c>
      <c r="D2074">
        <v>49</v>
      </c>
      <c r="E2074">
        <v>63</v>
      </c>
      <c r="F2074">
        <v>14</v>
      </c>
      <c r="G2074">
        <v>2</v>
      </c>
      <c r="H2074" s="1">
        <v>9.4907407407407408E-4</v>
      </c>
      <c r="I2074">
        <v>2018</v>
      </c>
      <c r="J2074" t="s">
        <v>12</v>
      </c>
      <c r="K2074" s="2" t="str">
        <f>HYPERLINK("https://www.nba.com/stats/events?CFID=&amp;CFPARAMS=&amp;GameEventID=292&amp;GameID=0021800329&amp;Season=2018-19&amp;flag=1&amp;title=McCollum%207'%20Floating%20Jump%20Shot%20(14%20PTS)%20(Leonard%202%20AST)", "McCollum 7' Floating Jump Shot (14 PTS) (Leonard 2 AST)")</f>
        <v>McCollum 7' Floating Jump Shot (14 PTS) (Leonard 2 AST)</v>
      </c>
      <c r="L2074" s="2" t="str">
        <f>HYPERLINK("https://www.nba.com/game/...-vs-...-0021800329/play-by-play?watchFullGame=true", "POR vs DEN - Q2 01:22.00")</f>
        <v>POR vs DEN - Q2 01:22.00</v>
      </c>
      <c r="M2074">
        <v>7</v>
      </c>
      <c r="N2074">
        <v>-41</v>
      </c>
      <c r="O2074">
        <v>62</v>
      </c>
      <c r="P2074">
        <v>-41</v>
      </c>
      <c r="Q2074">
        <v>62</v>
      </c>
      <c r="R2074" t="s">
        <v>0</v>
      </c>
      <c r="S2074" t="s">
        <v>0</v>
      </c>
      <c r="T2074" t="s">
        <v>0</v>
      </c>
    </row>
    <row r="2075" spans="1:20" x14ac:dyDescent="0.25">
      <c r="A2075">
        <v>21401200</v>
      </c>
      <c r="B2075" t="s">
        <v>4</v>
      </c>
      <c r="C2075" t="s">
        <v>50</v>
      </c>
      <c r="D2075">
        <v>59</v>
      </c>
      <c r="E2075">
        <v>45</v>
      </c>
      <c r="F2075">
        <v>14</v>
      </c>
      <c r="G2075">
        <v>3</v>
      </c>
      <c r="H2075" s="1">
        <v>5.6944444444444447E-3</v>
      </c>
      <c r="I2075">
        <v>2014</v>
      </c>
      <c r="J2075" t="s">
        <v>7</v>
      </c>
      <c r="K2075" s="2" t="str">
        <f>HYPERLINK("https://www.nba.com/stats/events?CFID=&amp;CFPARAMS=&amp;GameEventID=309&amp;GameID=0021401200&amp;Season=2014-15&amp;flag=1&amp;title=Duncan%20%20Finger%20Roll%20Layup%20(15%20PTS)%20(Leonard%201%20AST)", "Duncan  Finger Roll Layup (15 PTS) (Leonard 1 AST)")</f>
        <v>Duncan  Finger Roll Layup (15 PTS) (Leonard 1 AST)</v>
      </c>
      <c r="L2075" s="2" t="str">
        <f>HYPERLINK("https://www.nba.com/game/...-vs-...-0021401200/play-by-play?watchFullGame=true", "SAS vs PHX - Q3 08:12.00")</f>
        <v>SAS vs PHX - Q3 08:12.00</v>
      </c>
      <c r="M2075">
        <v>0</v>
      </c>
      <c r="N2075">
        <v>0</v>
      </c>
      <c r="O2075">
        <v>1</v>
      </c>
      <c r="P2075">
        <v>0</v>
      </c>
      <c r="Q2075">
        <v>1</v>
      </c>
      <c r="R2075" t="s">
        <v>0</v>
      </c>
      <c r="S2075" t="s">
        <v>0</v>
      </c>
      <c r="T2075" t="s">
        <v>0</v>
      </c>
    </row>
    <row r="2076" spans="1:20" x14ac:dyDescent="0.25">
      <c r="A2076">
        <v>21500074</v>
      </c>
      <c r="B2076" t="s">
        <v>10</v>
      </c>
      <c r="C2076" t="s">
        <v>9</v>
      </c>
      <c r="D2076">
        <v>48</v>
      </c>
      <c r="E2076">
        <v>44</v>
      </c>
      <c r="F2076">
        <v>4</v>
      </c>
      <c r="G2076">
        <v>2</v>
      </c>
      <c r="H2076" s="1">
        <v>3.8078703703703701E-4</v>
      </c>
      <c r="I2076">
        <v>2015</v>
      </c>
      <c r="J2076" t="s">
        <v>12</v>
      </c>
      <c r="K2076" s="2" t="str">
        <f>HYPERLINK("https://www.nba.com/stats/events?CFID=&amp;CFPARAMS=&amp;GameEventID=216&amp;GameID=0021500074&amp;Season=2015-16&amp;flag=1&amp;title=McCollum%2025'%203PT%20Jump%20Shot%20(10%20PTS)%20(Leonard%201%20AST)", "McCollum 25' 3PT Jump Shot (10 PTS) (Leonard 1 AST)")</f>
        <v>McCollum 25' 3PT Jump Shot (10 PTS) (Leonard 1 AST)</v>
      </c>
      <c r="L2076" s="2" t="str">
        <f>HYPERLINK("https://www.nba.com/game/...-vs-...-0021500074/play-by-play?watchFullGame=true", "POR vs MEM - Q2 00:32.90")</f>
        <v>POR vs MEM - Q2 00:32.90</v>
      </c>
      <c r="M2076">
        <v>25</v>
      </c>
      <c r="N2076">
        <v>-176</v>
      </c>
      <c r="O2076">
        <v>183</v>
      </c>
      <c r="P2076">
        <v>-176</v>
      </c>
      <c r="Q2076">
        <v>183</v>
      </c>
      <c r="R2076" t="s">
        <v>0</v>
      </c>
      <c r="S2076" t="s">
        <v>0</v>
      </c>
      <c r="T2076" t="s">
        <v>0</v>
      </c>
    </row>
    <row r="2077" spans="1:20" x14ac:dyDescent="0.25">
      <c r="A2077">
        <v>21500074</v>
      </c>
      <c r="B2077" t="s">
        <v>10</v>
      </c>
      <c r="C2077" t="s">
        <v>9</v>
      </c>
      <c r="D2077">
        <v>65</v>
      </c>
      <c r="E2077">
        <v>62</v>
      </c>
      <c r="F2077">
        <v>3</v>
      </c>
      <c r="G2077">
        <v>3</v>
      </c>
      <c r="H2077" s="1">
        <v>4.6643518518518518E-3</v>
      </c>
      <c r="I2077">
        <v>2015</v>
      </c>
      <c r="J2077" t="s">
        <v>12</v>
      </c>
      <c r="K2077" s="2" t="str">
        <f>HYPERLINK("https://www.nba.com/stats/events?CFID=&amp;CFPARAMS=&amp;GameEventID=280&amp;GameID=0021500074&amp;Season=2015-16&amp;flag=1&amp;title=Lillard%2025'%203PT%20Jump%20Shot%20(10%20PTS)%20(Leonard%202%20AST)", "Lillard 25' 3PT Jump Shot (10 PTS) (Leonard 2 AST)")</f>
        <v>Lillard 25' 3PT Jump Shot (10 PTS) (Leonard 2 AST)</v>
      </c>
      <c r="L2077" s="2" t="str">
        <f>HYPERLINK("https://www.nba.com/game/...-vs-...-0021500074/play-by-play?watchFullGame=true", "POR vs MEM - Q3 06:43.00")</f>
        <v>POR vs MEM - Q3 06:43.00</v>
      </c>
      <c r="M2077">
        <v>25</v>
      </c>
      <c r="N2077">
        <v>-78</v>
      </c>
      <c r="O2077">
        <v>237</v>
      </c>
      <c r="P2077">
        <v>-78</v>
      </c>
      <c r="Q2077">
        <v>237</v>
      </c>
      <c r="R2077" t="s">
        <v>0</v>
      </c>
      <c r="S2077" t="s">
        <v>0</v>
      </c>
      <c r="T2077" t="s">
        <v>0</v>
      </c>
    </row>
    <row r="2078" spans="1:20" x14ac:dyDescent="0.25">
      <c r="A2078">
        <v>21500102</v>
      </c>
      <c r="B2078" t="s">
        <v>10</v>
      </c>
      <c r="C2078" t="s">
        <v>9</v>
      </c>
      <c r="D2078">
        <v>53</v>
      </c>
      <c r="E2078">
        <v>48</v>
      </c>
      <c r="F2078">
        <v>5</v>
      </c>
      <c r="G2078">
        <v>2</v>
      </c>
      <c r="H2078" s="1">
        <v>2.1064814814814813E-3</v>
      </c>
      <c r="I2078">
        <v>2015</v>
      </c>
      <c r="J2078" t="s">
        <v>12</v>
      </c>
      <c r="K2078" s="2" t="str">
        <f>HYPERLINK("https://www.nba.com/stats/events?CFID=&amp;CFPARAMS=&amp;GameEventID=244&amp;GameID=0021500102&amp;Season=2015-16&amp;flag=1&amp;title=Lillard%2025'%203PT%20Jump%20Shot%20(15%20PTS)%20(Leonard%203%20AST)", "Lillard 25' 3PT Jump Shot (15 PTS) (Leonard 3 AST)")</f>
        <v>Lillard 25' 3PT Jump Shot (15 PTS) (Leonard 3 AST)</v>
      </c>
      <c r="L2078" s="2" t="str">
        <f>HYPERLINK("https://www.nba.com/game/...-vs-...-0021500102/play-by-play?watchFullGame=true", "POR vs DEN - Q2 03:02.00")</f>
        <v>POR vs DEN - Q2 03:02.00</v>
      </c>
      <c r="M2078">
        <v>25</v>
      </c>
      <c r="N2078">
        <v>199</v>
      </c>
      <c r="O2078">
        <v>144</v>
      </c>
      <c r="P2078">
        <v>199</v>
      </c>
      <c r="Q2078">
        <v>144</v>
      </c>
      <c r="R2078" t="s">
        <v>0</v>
      </c>
      <c r="S2078" t="s">
        <v>0</v>
      </c>
      <c r="T2078" t="s">
        <v>0</v>
      </c>
    </row>
    <row r="2079" spans="1:20" x14ac:dyDescent="0.25">
      <c r="A2079">
        <v>21500224</v>
      </c>
      <c r="B2079" t="s">
        <v>4</v>
      </c>
      <c r="C2079" t="s">
        <v>9</v>
      </c>
      <c r="D2079">
        <v>22</v>
      </c>
      <c r="E2079">
        <v>10</v>
      </c>
      <c r="F2079">
        <v>12</v>
      </c>
      <c r="G2079">
        <v>1</v>
      </c>
      <c r="H2079" s="1">
        <v>1.6666666666666668E-3</v>
      </c>
      <c r="I2079">
        <v>2015</v>
      </c>
      <c r="J2079" t="s">
        <v>7</v>
      </c>
      <c r="K2079" s="2" t="str">
        <f>HYPERLINK("https://www.nba.com/stats/events?CFID=&amp;CFPARAMS=&amp;GameEventID=97&amp;GameID=0021500224&amp;Season=2015-16&amp;flag=1&amp;title=West%2015'%20Jump%20Shot%20(2%20PTS)%20(Leonard%202%20AST)", "West 15' Jump Shot (2 PTS) (Leonard 2 AST)")</f>
        <v>West 15' Jump Shot (2 PTS) (Leonard 2 AST)</v>
      </c>
      <c r="L2079" s="2" t="str">
        <f>HYPERLINK("https://www.nba.com/game/...-vs-...-0021500224/play-by-play?watchFullGame=true", "SAS vs DAL - Q1 02:24.00")</f>
        <v>SAS vs DAL - Q1 02:24.00</v>
      </c>
      <c r="M2079">
        <v>15</v>
      </c>
      <c r="N2079">
        <v>-153</v>
      </c>
      <c r="O2079">
        <v>7</v>
      </c>
      <c r="P2079">
        <v>-153</v>
      </c>
      <c r="Q2079">
        <v>7</v>
      </c>
      <c r="R2079" t="s">
        <v>0</v>
      </c>
      <c r="S2079" t="s">
        <v>0</v>
      </c>
      <c r="T2079" t="s">
        <v>0</v>
      </c>
    </row>
    <row r="2080" spans="1:20" x14ac:dyDescent="0.25">
      <c r="A2080">
        <v>21500364</v>
      </c>
      <c r="B2080" t="s">
        <v>4</v>
      </c>
      <c r="C2080" t="s">
        <v>24</v>
      </c>
      <c r="D2080">
        <v>53</v>
      </c>
      <c r="E2080">
        <v>24</v>
      </c>
      <c r="F2080">
        <v>29</v>
      </c>
      <c r="G2080">
        <v>2</v>
      </c>
      <c r="H2080" s="1">
        <v>3.0787037037037037E-3</v>
      </c>
      <c r="I2080">
        <v>2015</v>
      </c>
      <c r="J2080" t="s">
        <v>7</v>
      </c>
      <c r="K2080" s="2" t="str">
        <f>HYPERLINK("https://www.nba.com/stats/events?CFID=&amp;CFPARAMS=&amp;GameEventID=207&amp;GameID=0021500364&amp;Season=2015-16&amp;flag=1&amp;title=Parker%20%20Cutting%20Finger%20Roll%20Layup%20Shot%20(8%20PTS)%20(Leonard%201%20AST)", "Parker  Cutting Finger Roll Layup Shot (8 PTS) (Leonard 1 AST)")</f>
        <v>Parker  Cutting Finger Roll Layup Shot (8 PTS) (Leonard 1 AST)</v>
      </c>
      <c r="L2080" s="2" t="str">
        <f>HYPERLINK("https://www.nba.com/game/...-vs-...-0021500364/play-by-play?watchFullGame=true", "SAS vs UTA - Q2 04:26.00")</f>
        <v>SAS vs UTA - Q2 04:26.00</v>
      </c>
      <c r="M2080">
        <v>0</v>
      </c>
      <c r="N2080">
        <v>-2</v>
      </c>
      <c r="O2080">
        <v>2</v>
      </c>
      <c r="P2080">
        <v>-2</v>
      </c>
      <c r="Q2080">
        <v>2</v>
      </c>
      <c r="R2080" t="s">
        <v>0</v>
      </c>
      <c r="S2080" t="s">
        <v>0</v>
      </c>
      <c r="T2080" t="s">
        <v>0</v>
      </c>
    </row>
    <row r="2081" spans="1:20" x14ac:dyDescent="0.25">
      <c r="A2081">
        <v>21500416</v>
      </c>
      <c r="B2081" t="s">
        <v>10</v>
      </c>
      <c r="C2081" t="s">
        <v>9</v>
      </c>
      <c r="D2081">
        <v>104</v>
      </c>
      <c r="E2081">
        <v>86</v>
      </c>
      <c r="F2081">
        <v>18</v>
      </c>
      <c r="G2081">
        <v>4</v>
      </c>
      <c r="H2081" s="1">
        <v>1.8518518518518519E-3</v>
      </c>
      <c r="I2081">
        <v>2015</v>
      </c>
      <c r="J2081" t="s">
        <v>7</v>
      </c>
      <c r="K2081" s="2" t="str">
        <f>HYPERLINK("https://www.nba.com/stats/events?CFID=&amp;CFPARAMS=&amp;GameEventID=444&amp;GameID=0021500416&amp;Season=2015-16&amp;flag=1&amp;title=Parker%2024'%203PT%20Jump%20Shot%20(15%20PTS)%20(Leonard%205%20AST)", "Parker 24' 3PT Jump Shot (15 PTS) (Leonard 5 AST)")</f>
        <v>Parker 24' 3PT Jump Shot (15 PTS) (Leonard 5 AST)</v>
      </c>
      <c r="L2081" s="2" t="str">
        <f>HYPERLINK("https://www.nba.com/game/...-vs-...-0021500416/play-by-play?watchFullGame=true", "SAS vs IND - Q4 02:40.00")</f>
        <v>SAS vs IND - Q4 02:40.00</v>
      </c>
      <c r="M2081">
        <v>24</v>
      </c>
      <c r="N2081">
        <v>228</v>
      </c>
      <c r="O2081">
        <v>57</v>
      </c>
      <c r="P2081">
        <v>228</v>
      </c>
      <c r="Q2081">
        <v>57</v>
      </c>
      <c r="R2081" t="s">
        <v>0</v>
      </c>
      <c r="S2081" t="s">
        <v>0</v>
      </c>
      <c r="T2081" t="s">
        <v>0</v>
      </c>
    </row>
    <row r="2082" spans="1:20" x14ac:dyDescent="0.25">
      <c r="A2082">
        <v>21500682</v>
      </c>
      <c r="B2082" t="s">
        <v>4</v>
      </c>
      <c r="C2082" t="s">
        <v>48</v>
      </c>
      <c r="D2082">
        <v>33</v>
      </c>
      <c r="E2082">
        <v>29</v>
      </c>
      <c r="F2082">
        <v>4</v>
      </c>
      <c r="G2082">
        <v>1</v>
      </c>
      <c r="H2082" s="1">
        <v>2.199074074074074E-5</v>
      </c>
      <c r="I2082">
        <v>2015</v>
      </c>
      <c r="J2082" t="s">
        <v>12</v>
      </c>
      <c r="K2082" s="2" t="str">
        <f>HYPERLINK("https://www.nba.com/stats/events?CFID=&amp;CFPARAMS=&amp;GameEventID=139&amp;GameID=0021500682&amp;Season=2015-16&amp;flag=1&amp;title=Henderson%205'%20Driving%20Bank%20Shot%20(4%20PTS)%20(Leonard%201%20AST)", "Henderson 5' Driving Bank Shot (4 PTS) (Leonard 1 AST)")</f>
        <v>Henderson 5' Driving Bank Shot (4 PTS) (Leonard 1 AST)</v>
      </c>
      <c r="L2082" s="2" t="str">
        <f>HYPERLINK("https://www.nba.com/game/...-vs-...-0021500682/play-by-play?watchFullGame=true", "POR vs SAC - Q1 00:01.90")</f>
        <v>POR vs SAC - Q1 00:01.90</v>
      </c>
      <c r="M2082">
        <v>5</v>
      </c>
      <c r="N2082">
        <v>45</v>
      </c>
      <c r="O2082">
        <v>3</v>
      </c>
      <c r="P2082">
        <v>45</v>
      </c>
      <c r="Q2082">
        <v>3</v>
      </c>
      <c r="R2082" t="s">
        <v>0</v>
      </c>
      <c r="S2082" t="s">
        <v>0</v>
      </c>
      <c r="T2082" t="s">
        <v>0</v>
      </c>
    </row>
    <row r="2083" spans="1:20" x14ac:dyDescent="0.25">
      <c r="A2083">
        <v>21500705</v>
      </c>
      <c r="B2083" t="s">
        <v>4</v>
      </c>
      <c r="C2083" t="s">
        <v>26</v>
      </c>
      <c r="D2083">
        <v>19</v>
      </c>
      <c r="E2083">
        <v>15</v>
      </c>
      <c r="F2083">
        <v>4</v>
      </c>
      <c r="G2083">
        <v>1</v>
      </c>
      <c r="H2083" s="1">
        <v>1.4930555555555556E-3</v>
      </c>
      <c r="I2083">
        <v>2015</v>
      </c>
      <c r="J2083" t="s">
        <v>12</v>
      </c>
      <c r="K2083" s="2" t="str">
        <f>HYPERLINK("https://www.nba.com/stats/events?CFID=&amp;CFPARAMS=&amp;GameEventID=84&amp;GameID=0021500705&amp;Season=2015-16&amp;flag=1&amp;title=Henderson%201'%20Reverse%20Layup%20(2%20PTS)%20(Leonard%201%20AST)", "Henderson 1' Reverse Layup (2 PTS) (Leonard 1 AST)")</f>
        <v>Henderson 1' Reverse Layup (2 PTS) (Leonard 1 AST)</v>
      </c>
      <c r="L2083" s="2" t="str">
        <f>HYPERLINK("https://www.nba.com/game/...-vs-...-0021500705/play-by-play?watchFullGame=true", "POR vs CHA - Q1 02:09.00")</f>
        <v>POR vs CHA - Q1 02:09.00</v>
      </c>
      <c r="M2083">
        <v>1</v>
      </c>
      <c r="N2083">
        <v>-12</v>
      </c>
      <c r="O2083">
        <v>0</v>
      </c>
      <c r="P2083">
        <v>-12</v>
      </c>
      <c r="Q2083">
        <v>0</v>
      </c>
      <c r="R2083" t="s">
        <v>0</v>
      </c>
      <c r="S2083" t="s">
        <v>0</v>
      </c>
      <c r="T2083" t="s">
        <v>0</v>
      </c>
    </row>
    <row r="2084" spans="1:20" x14ac:dyDescent="0.25">
      <c r="A2084">
        <v>21500893</v>
      </c>
      <c r="B2084" t="s">
        <v>10</v>
      </c>
      <c r="C2084" t="s">
        <v>9</v>
      </c>
      <c r="D2084">
        <v>97</v>
      </c>
      <c r="E2084">
        <v>79</v>
      </c>
      <c r="F2084">
        <v>18</v>
      </c>
      <c r="G2084">
        <v>4</v>
      </c>
      <c r="H2084" s="1">
        <v>2.9398148148148148E-3</v>
      </c>
      <c r="I2084">
        <v>2015</v>
      </c>
      <c r="J2084" t="s">
        <v>12</v>
      </c>
      <c r="K2084" s="2" t="str">
        <f>HYPERLINK("https://www.nba.com/stats/events?CFID=&amp;CFPARAMS=&amp;GameEventID=452&amp;GameID=0021500893&amp;Season=2015-16&amp;flag=1&amp;title=McCollum%20%203PT%20Jump%20Shot%20(25%20PTS)%20(Leonard%201%20AST)", "McCollum  3PT Jump Shot (25 PTS) (Leonard 1 AST)")</f>
        <v>McCollum  3PT Jump Shot (25 PTS) (Leonard 1 AST)</v>
      </c>
      <c r="L2084" s="2" t="str">
        <f>HYPERLINK("https://www.nba.com/game/...-vs-...-0021500893/play-by-play?watchFullGame=true", "POR vs NYK - Q4 04:14.00")</f>
        <v>POR vs NYK - Q4 04:14.00</v>
      </c>
      <c r="M2084">
        <v>0</v>
      </c>
      <c r="N2084">
        <v>-228</v>
      </c>
      <c r="O2084">
        <v>-34</v>
      </c>
      <c r="P2084">
        <v>-228</v>
      </c>
      <c r="Q2084">
        <v>-34</v>
      </c>
      <c r="R2084" t="s">
        <v>0</v>
      </c>
      <c r="S2084" t="s">
        <v>0</v>
      </c>
      <c r="T2084" t="s">
        <v>0</v>
      </c>
    </row>
    <row r="2085" spans="1:20" x14ac:dyDescent="0.25">
      <c r="A2085">
        <v>21501036</v>
      </c>
      <c r="B2085" t="s">
        <v>4</v>
      </c>
      <c r="C2085" t="s">
        <v>9</v>
      </c>
      <c r="D2085">
        <v>30</v>
      </c>
      <c r="E2085">
        <v>24</v>
      </c>
      <c r="F2085">
        <v>6</v>
      </c>
      <c r="G2085">
        <v>2</v>
      </c>
      <c r="H2085" s="1">
        <v>4.9768518518518521E-3</v>
      </c>
      <c r="I2085">
        <v>2015</v>
      </c>
      <c r="J2085" t="s">
        <v>7</v>
      </c>
      <c r="K2085" s="2" t="str">
        <f>HYPERLINK("https://www.nba.com/stats/events?CFID=&amp;CFPARAMS=&amp;GameEventID=171&amp;GameID=0021501036&amp;Season=2015-16&amp;flag=1&amp;title=Aldridge%2017'%20Jump%20Shot%20(10%20PTS)%20(Leonard%201%20AST)", "Aldridge 17' Jump Shot (10 PTS) (Leonard 1 AST)")</f>
        <v>Aldridge 17' Jump Shot (10 PTS) (Leonard 1 AST)</v>
      </c>
      <c r="L2085" s="2" t="str">
        <f>HYPERLINK("https://www.nba.com/game/...-vs-...-0021501036/play-by-play?watchFullGame=true", "SAS vs GSW - Q2 07:10.00")</f>
        <v>SAS vs GSW - Q2 07:10.00</v>
      </c>
      <c r="M2085">
        <v>17</v>
      </c>
      <c r="N2085">
        <v>-16</v>
      </c>
      <c r="O2085">
        <v>169</v>
      </c>
      <c r="P2085">
        <v>-16</v>
      </c>
      <c r="Q2085">
        <v>169</v>
      </c>
      <c r="R2085" t="s">
        <v>0</v>
      </c>
      <c r="S2085" t="s">
        <v>0</v>
      </c>
      <c r="T2085" t="s">
        <v>0</v>
      </c>
    </row>
    <row r="2086" spans="1:20" x14ac:dyDescent="0.25">
      <c r="A2086">
        <v>21501118</v>
      </c>
      <c r="B2086" t="s">
        <v>4</v>
      </c>
      <c r="C2086" t="s">
        <v>25</v>
      </c>
      <c r="D2086">
        <v>15</v>
      </c>
      <c r="E2086">
        <v>10</v>
      </c>
      <c r="F2086">
        <v>5</v>
      </c>
      <c r="G2086">
        <v>1</v>
      </c>
      <c r="H2086" s="1">
        <v>4.5254629629629629E-3</v>
      </c>
      <c r="I2086">
        <v>2015</v>
      </c>
      <c r="J2086" t="s">
        <v>7</v>
      </c>
      <c r="K2086" s="2" t="str">
        <f>HYPERLINK("https://www.nba.com/stats/events?CFID=&amp;CFPARAMS=&amp;GameEventID=42&amp;GameID=0021501118&amp;Season=2015-16&amp;flag=1&amp;title=Green%202'%20Running%20Finger%20Roll%20Layup%20(5%20PTS)%20(Leonard%201%20AST)", "Green 2' Running Finger Roll Layup (5 PTS) (Leonard 1 AST)")</f>
        <v>Green 2' Running Finger Roll Layup (5 PTS) (Leonard 1 AST)</v>
      </c>
      <c r="L2086" s="2" t="str">
        <f>HYPERLINK("https://www.nba.com/game/...-vs-...-0021501118/play-by-play?watchFullGame=true", "SAS vs NOP - Q1 06:31.00")</f>
        <v>SAS vs NOP - Q1 06:31.00</v>
      </c>
      <c r="M2086">
        <v>2</v>
      </c>
      <c r="N2086">
        <v>17</v>
      </c>
      <c r="O2086">
        <v>2</v>
      </c>
      <c r="P2086">
        <v>17</v>
      </c>
      <c r="Q2086">
        <v>2</v>
      </c>
      <c r="R2086" t="s">
        <v>0</v>
      </c>
      <c r="S2086" t="s">
        <v>0</v>
      </c>
      <c r="T2086" t="s">
        <v>0</v>
      </c>
    </row>
    <row r="2087" spans="1:20" x14ac:dyDescent="0.25">
      <c r="A2087">
        <v>21501118</v>
      </c>
      <c r="B2087" t="s">
        <v>10</v>
      </c>
      <c r="C2087" t="s">
        <v>9</v>
      </c>
      <c r="D2087">
        <v>41</v>
      </c>
      <c r="E2087">
        <v>36</v>
      </c>
      <c r="F2087">
        <v>5</v>
      </c>
      <c r="G2087">
        <v>2</v>
      </c>
      <c r="H2087" s="1">
        <v>1.1342592592592593E-3</v>
      </c>
      <c r="I2087">
        <v>2015</v>
      </c>
      <c r="J2087" t="s">
        <v>7</v>
      </c>
      <c r="K2087" s="2" t="str">
        <f>HYPERLINK("https://www.nba.com/stats/events?CFID=&amp;CFPARAMS=&amp;GameEventID=222&amp;GameID=0021501118&amp;Season=2015-16&amp;flag=1&amp;title=Ginobili%2025'%203PT%20Jump%20Shot%20(8%20PTS)%20(Leonard%203%20AST)", "Ginobili 25' 3PT Jump Shot (8 PTS) (Leonard 3 AST)")</f>
        <v>Ginobili 25' 3PT Jump Shot (8 PTS) (Leonard 3 AST)</v>
      </c>
      <c r="L2087" s="2" t="str">
        <f>HYPERLINK("https://www.nba.com/game/...-vs-...-0021501118/play-by-play?watchFullGame=true", "SAS vs NOP - Q2 01:38.00")</f>
        <v>SAS vs NOP - Q2 01:38.00</v>
      </c>
      <c r="M2087">
        <v>25</v>
      </c>
      <c r="N2087">
        <v>9</v>
      </c>
      <c r="O2087">
        <v>247</v>
      </c>
      <c r="P2087">
        <v>9</v>
      </c>
      <c r="Q2087">
        <v>247</v>
      </c>
      <c r="R2087" t="s">
        <v>0</v>
      </c>
      <c r="S2087" t="s">
        <v>0</v>
      </c>
      <c r="T2087" t="s">
        <v>0</v>
      </c>
    </row>
    <row r="2088" spans="1:20" x14ac:dyDescent="0.25">
      <c r="A2088">
        <v>21501177</v>
      </c>
      <c r="B2088" t="s">
        <v>4</v>
      </c>
      <c r="C2088" t="s">
        <v>19</v>
      </c>
      <c r="D2088">
        <v>2</v>
      </c>
      <c r="E2088">
        <v>0</v>
      </c>
      <c r="F2088">
        <v>2</v>
      </c>
      <c r="G2088">
        <v>1</v>
      </c>
      <c r="H2088" s="1">
        <v>7.9282407407407409E-3</v>
      </c>
      <c r="I2088">
        <v>2015</v>
      </c>
      <c r="J2088" t="s">
        <v>7</v>
      </c>
      <c r="K2088" s="2" t="str">
        <f>HYPERLINK("https://www.nba.com/stats/events?CFID=&amp;CFPARAMS=&amp;GameEventID=5&amp;GameID=0021501177&amp;Season=2015-16&amp;flag=1&amp;title=Parker%2020'%20Pullup%20Jump%20Shot%20(2%20PTS)%20(Leonard%201%20AST)", "Parker 20' Pullup Jump Shot (2 PTS) (Leonard 1 AST)")</f>
        <v>Parker 20' Pullup Jump Shot (2 PTS) (Leonard 1 AST)</v>
      </c>
      <c r="L2088" s="2" t="str">
        <f>HYPERLINK("https://www.nba.com/game/...-vs-...-0021501177/play-by-play?watchFullGame=true", "SAS vs GSW - Q1 11:25.00")</f>
        <v>SAS vs GSW - Q1 11:25.00</v>
      </c>
      <c r="M2088">
        <v>20</v>
      </c>
      <c r="N2088">
        <v>-129</v>
      </c>
      <c r="O2088">
        <v>154</v>
      </c>
      <c r="P2088">
        <v>-129</v>
      </c>
      <c r="Q2088">
        <v>154</v>
      </c>
      <c r="R2088" t="s">
        <v>0</v>
      </c>
      <c r="S2088" t="s">
        <v>0</v>
      </c>
      <c r="T2088" t="s">
        <v>0</v>
      </c>
    </row>
    <row r="2089" spans="1:20" x14ac:dyDescent="0.25">
      <c r="A2089">
        <v>21501215</v>
      </c>
      <c r="B2089" t="s">
        <v>4</v>
      </c>
      <c r="C2089" t="s">
        <v>17</v>
      </c>
      <c r="D2089">
        <v>21</v>
      </c>
      <c r="E2089">
        <v>25</v>
      </c>
      <c r="F2089">
        <v>4</v>
      </c>
      <c r="G2089">
        <v>1</v>
      </c>
      <c r="H2089" s="1">
        <v>1.2847222222222223E-3</v>
      </c>
      <c r="I2089">
        <v>2015</v>
      </c>
      <c r="J2089" t="s">
        <v>7</v>
      </c>
      <c r="K2089" s="2" t="str">
        <f>HYPERLINK("https://www.nba.com/stats/events?CFID=&amp;CFPARAMS=&amp;GameEventID=97&amp;GameID=0021501215&amp;Season=2015-16&amp;flag=1&amp;title=Duncan%209'%20Floating%20Jump%20Shot%20(6%20PTS)%20(Leonard%204%20AST)", "Duncan 9' Floating Jump Shot (6 PTS) (Leonard 4 AST)")</f>
        <v>Duncan 9' Floating Jump Shot (6 PTS) (Leonard 4 AST)</v>
      </c>
      <c r="L2089" s="2" t="str">
        <f>HYPERLINK("https://www.nba.com/game/...-vs-...-0021501215/play-by-play?watchFullGame=true", "SAS vs OKC - Q1 01:51.00")</f>
        <v>SAS vs OKC - Q1 01:51.00</v>
      </c>
      <c r="M2089">
        <v>9</v>
      </c>
      <c r="N2089">
        <v>-43</v>
      </c>
      <c r="O2089">
        <v>75</v>
      </c>
      <c r="P2089">
        <v>-43</v>
      </c>
      <c r="Q2089">
        <v>75</v>
      </c>
      <c r="R2089" t="s">
        <v>0</v>
      </c>
      <c r="S2089" t="s">
        <v>0</v>
      </c>
      <c r="T2089" t="s">
        <v>0</v>
      </c>
    </row>
    <row r="2090" spans="1:20" x14ac:dyDescent="0.25">
      <c r="A2090">
        <v>21600016</v>
      </c>
      <c r="B2090" t="s">
        <v>4</v>
      </c>
      <c r="C2090" t="s">
        <v>9</v>
      </c>
      <c r="D2090">
        <v>57</v>
      </c>
      <c r="E2090">
        <v>63</v>
      </c>
      <c r="F2090">
        <v>6</v>
      </c>
      <c r="G2090">
        <v>3</v>
      </c>
      <c r="H2090" s="1">
        <v>5.5439814814814813E-3</v>
      </c>
      <c r="I2090">
        <v>2016</v>
      </c>
      <c r="J2090" t="s">
        <v>7</v>
      </c>
      <c r="K2090" s="2" t="str">
        <f>HYPERLINK("https://www.nba.com/stats/events?CFID=&amp;CFPARAMS=&amp;GameEventID=305&amp;GameID=0021600016&amp;Season=2016-17&amp;flag=1&amp;title=Gasol%2017'%20Jump%20Shot%20(7%20PTS)%20(Leonard%203%20AST)", "Gasol 17' Jump Shot (7 PTS) (Leonard 3 AST)")</f>
        <v>Gasol 17' Jump Shot (7 PTS) (Leonard 3 AST)</v>
      </c>
      <c r="L2090" s="2" t="str">
        <f>HYPERLINK("https://www.nba.com/game/...-vs-...-0021600016/play-by-play?watchFullGame=true", "SAS vs SAC - Q3 07:59.00")</f>
        <v>SAS vs SAC - Q3 07:59.00</v>
      </c>
      <c r="M2090">
        <v>17</v>
      </c>
      <c r="N2090">
        <v>166</v>
      </c>
      <c r="O2090">
        <v>23</v>
      </c>
      <c r="P2090">
        <v>166</v>
      </c>
      <c r="Q2090">
        <v>23</v>
      </c>
      <c r="R2090" t="s">
        <v>0</v>
      </c>
      <c r="S2090" t="s">
        <v>0</v>
      </c>
      <c r="T2090" t="s">
        <v>0</v>
      </c>
    </row>
    <row r="2091" spans="1:20" x14ac:dyDescent="0.25">
      <c r="A2091">
        <v>21801072</v>
      </c>
      <c r="B2091" t="s">
        <v>4</v>
      </c>
      <c r="C2091" t="s">
        <v>14</v>
      </c>
      <c r="D2091">
        <v>63</v>
      </c>
      <c r="E2091">
        <v>53</v>
      </c>
      <c r="F2091">
        <v>10</v>
      </c>
      <c r="G2091">
        <v>2</v>
      </c>
      <c r="H2091" s="1">
        <v>6.3657407407407413E-4</v>
      </c>
      <c r="I2091">
        <v>2018</v>
      </c>
      <c r="J2091" t="s">
        <v>1</v>
      </c>
      <c r="K2091" s="2" t="str">
        <f>HYPERLINK("https://www.nba.com/stats/events?CFID=&amp;CFPARAMS=&amp;GameEventID=313&amp;GameID=0021801072&amp;Season=2018-19&amp;flag=1&amp;title=VanVleet%2017'%20Step%20Back%20Jump%20Shot%20(11%20PTS)%20(Leonard%204%20AST)", "VanVleet 17' Step Back Jump Shot (11 PTS) (Leonard 4 AST)")</f>
        <v>VanVleet 17' Step Back Jump Shot (11 PTS) (Leonard 4 AST)</v>
      </c>
      <c r="L2091" s="2" t="str">
        <f>HYPERLINK("https://www.nba.com/game/...-vs-...-0021801072/play-by-play?watchFullGame=true", "TOR vs OKC - Q2 00:55.00")</f>
        <v>TOR vs OKC - Q2 00:55.00</v>
      </c>
      <c r="M2091">
        <v>17</v>
      </c>
      <c r="N2091">
        <v>166</v>
      </c>
      <c r="O2091">
        <v>8</v>
      </c>
      <c r="P2091">
        <v>166</v>
      </c>
      <c r="Q2091">
        <v>8</v>
      </c>
      <c r="R2091" t="s">
        <v>0</v>
      </c>
      <c r="S2091" t="s">
        <v>0</v>
      </c>
      <c r="T2091" t="s">
        <v>0</v>
      </c>
    </row>
    <row r="2092" spans="1:20" x14ac:dyDescent="0.25">
      <c r="A2092">
        <v>21801083</v>
      </c>
      <c r="B2092" t="s">
        <v>4</v>
      </c>
      <c r="C2092" t="s">
        <v>6</v>
      </c>
      <c r="D2092">
        <v>106</v>
      </c>
      <c r="E2092">
        <v>110</v>
      </c>
      <c r="F2092">
        <v>4</v>
      </c>
      <c r="G2092">
        <v>4</v>
      </c>
      <c r="H2092" s="1">
        <v>1.1574074074074073E-3</v>
      </c>
      <c r="I2092">
        <v>2018</v>
      </c>
      <c r="J2092" t="s">
        <v>1</v>
      </c>
      <c r="K2092" s="2" t="str">
        <f>HYPERLINK("https://www.nba.com/stats/events?CFID=&amp;CFPARAMS=&amp;GameEventID=609&amp;GameID=0021801083&amp;Season=2018-19&amp;flag=1&amp;title=Gasol%201'%20Cutting%20Dunk%20Shot%20(2%20PTS)%20(Leonard%204%20AST)", "Gasol 1' Cutting Dunk Shot (2 PTS) (Leonard 4 AST)")</f>
        <v>Gasol 1' Cutting Dunk Shot (2 PTS) (Leonard 4 AST)</v>
      </c>
      <c r="L2092" s="2" t="str">
        <f>HYPERLINK("https://www.nba.com/game/...-vs-...-0021801083/play-by-play?watchFullGame=true", "TOR vs OKC - Q4 01:40.00")</f>
        <v>TOR vs OKC - Q4 01:40.00</v>
      </c>
      <c r="M2092">
        <v>1</v>
      </c>
      <c r="N2092">
        <v>-6</v>
      </c>
      <c r="O2092">
        <v>-2</v>
      </c>
      <c r="P2092">
        <v>-6</v>
      </c>
      <c r="Q2092">
        <v>-2</v>
      </c>
      <c r="R2092" t="s">
        <v>0</v>
      </c>
      <c r="S2092" t="s">
        <v>0</v>
      </c>
      <c r="T2092" t="s">
        <v>0</v>
      </c>
    </row>
    <row r="2093" spans="1:20" x14ac:dyDescent="0.25">
      <c r="A2093">
        <v>21500742</v>
      </c>
      <c r="B2093" t="s">
        <v>4</v>
      </c>
      <c r="C2093" t="s">
        <v>9</v>
      </c>
      <c r="D2093">
        <v>92</v>
      </c>
      <c r="E2093">
        <v>86</v>
      </c>
      <c r="F2093">
        <v>6</v>
      </c>
      <c r="G2093">
        <v>4</v>
      </c>
      <c r="H2093" s="1">
        <v>4.8611111111111112E-3</v>
      </c>
      <c r="I2093">
        <v>2015</v>
      </c>
      <c r="J2093" t="s">
        <v>7</v>
      </c>
      <c r="K2093" s="2" t="str">
        <f>HYPERLINK("https://www.nba.com/stats/events?CFID=&amp;CFPARAMS=&amp;GameEventID=404&amp;GameID=0021500742&amp;Season=2015-16&amp;flag=1&amp;title=Aldridge%2018'%20Jump%20Shot%20(26%20PTS)%20(Leonard%201%20AST)", "Aldridge 18' Jump Shot (26 PTS) (Leonard 1 AST)")</f>
        <v>Aldridge 18' Jump Shot (26 PTS) (Leonard 1 AST)</v>
      </c>
      <c r="L2093" s="2" t="str">
        <f>HYPERLINK("https://www.nba.com/game/...-vs-...-0021500742/play-by-play?watchFullGame=true", "SAS vs NOP - Q4 07:00.00")</f>
        <v>SAS vs NOP - Q4 07:00.00</v>
      </c>
      <c r="M2093">
        <v>18</v>
      </c>
      <c r="N2093">
        <v>56</v>
      </c>
      <c r="O2093">
        <v>170</v>
      </c>
      <c r="P2093">
        <v>56</v>
      </c>
      <c r="Q2093">
        <v>170</v>
      </c>
      <c r="R2093" t="s">
        <v>0</v>
      </c>
      <c r="S2093" t="s">
        <v>0</v>
      </c>
      <c r="T2093" t="s">
        <v>0</v>
      </c>
    </row>
    <row r="2094" spans="1:20" x14ac:dyDescent="0.25">
      <c r="A2094">
        <v>21500767</v>
      </c>
      <c r="B2094" t="s">
        <v>4</v>
      </c>
      <c r="C2094" t="s">
        <v>5</v>
      </c>
      <c r="D2094">
        <v>75</v>
      </c>
      <c r="E2094">
        <v>69</v>
      </c>
      <c r="F2094">
        <v>6</v>
      </c>
      <c r="G2094">
        <v>3</v>
      </c>
      <c r="H2094" s="1">
        <v>2.4074074074074076E-3</v>
      </c>
      <c r="I2094">
        <v>2015</v>
      </c>
      <c r="J2094" t="s">
        <v>7</v>
      </c>
      <c r="K2094" s="2" t="str">
        <f>HYPERLINK("https://www.nba.com/stats/events?CFID=&amp;CFPARAMS=&amp;GameEventID=370&amp;GameID=0021500767&amp;Season=2015-16&amp;flag=1&amp;title=Simmons%203'%20Layup%20(4%20PTS)%20(Leonard%202%20AST)", "Simmons 3' Layup (4 PTS) (Leonard 2 AST)")</f>
        <v>Simmons 3' Layup (4 PTS) (Leonard 2 AST)</v>
      </c>
      <c r="L2094" s="2" t="str">
        <f>HYPERLINK("https://www.nba.com/game/...-vs-...-0021500767/play-by-play?watchFullGame=true", "SAS vs LAL - Q3 03:28.00")</f>
        <v>SAS vs LAL - Q3 03:28.00</v>
      </c>
      <c r="M2094">
        <v>3</v>
      </c>
      <c r="N2094">
        <v>25</v>
      </c>
      <c r="O2094">
        <v>-15</v>
      </c>
      <c r="P2094">
        <v>25</v>
      </c>
      <c r="Q2094">
        <v>-15</v>
      </c>
      <c r="R2094" t="s">
        <v>0</v>
      </c>
      <c r="S2094" t="s">
        <v>0</v>
      </c>
      <c r="T2094" t="s">
        <v>0</v>
      </c>
    </row>
    <row r="2095" spans="1:20" x14ac:dyDescent="0.25">
      <c r="A2095">
        <v>21500854</v>
      </c>
      <c r="B2095" t="s">
        <v>4</v>
      </c>
      <c r="C2095" t="s">
        <v>5</v>
      </c>
      <c r="D2095">
        <v>101</v>
      </c>
      <c r="E2095">
        <v>84</v>
      </c>
      <c r="F2095">
        <v>17</v>
      </c>
      <c r="G2095">
        <v>4</v>
      </c>
      <c r="H2095" s="1">
        <v>2.5115740740740741E-3</v>
      </c>
      <c r="I2095">
        <v>2015</v>
      </c>
      <c r="J2095" t="s">
        <v>7</v>
      </c>
      <c r="K2095" s="2" t="str">
        <f>HYPERLINK("https://www.nba.com/stats/events?CFID=&amp;CFPARAMS=&amp;GameEventID=451&amp;GameID=0021500854&amp;Season=2015-16&amp;flag=1&amp;title=Parker%203'%20Layup%20(19%20PTS)%20(Leonard%201%20AST)", "Parker 3' Layup (19 PTS) (Leonard 1 AST)")</f>
        <v>Parker 3' Layup (19 PTS) (Leonard 1 AST)</v>
      </c>
      <c r="L2095" s="2" t="str">
        <f>HYPERLINK("https://www.nba.com/game/...-vs-...-0021500854/play-by-play?watchFullGame=true", "SAS vs SAC - Q4 03:37.00")</f>
        <v>SAS vs SAC - Q4 03:37.00</v>
      </c>
      <c r="M2095">
        <v>3</v>
      </c>
      <c r="N2095">
        <v>20</v>
      </c>
      <c r="O2095">
        <v>26</v>
      </c>
      <c r="P2095">
        <v>20</v>
      </c>
      <c r="Q2095">
        <v>26</v>
      </c>
      <c r="R2095" t="s">
        <v>0</v>
      </c>
      <c r="S2095" t="s">
        <v>0</v>
      </c>
      <c r="T2095" t="s">
        <v>0</v>
      </c>
    </row>
    <row r="2096" spans="1:20" x14ac:dyDescent="0.25">
      <c r="A2096">
        <v>21500928</v>
      </c>
      <c r="B2096" t="s">
        <v>10</v>
      </c>
      <c r="C2096" t="s">
        <v>9</v>
      </c>
      <c r="D2096">
        <v>69</v>
      </c>
      <c r="E2096">
        <v>54</v>
      </c>
      <c r="F2096">
        <v>15</v>
      </c>
      <c r="G2096">
        <v>3</v>
      </c>
      <c r="H2096" s="1">
        <v>6.053240740740741E-3</v>
      </c>
      <c r="I2096">
        <v>2015</v>
      </c>
      <c r="J2096" t="s">
        <v>7</v>
      </c>
      <c r="K2096" s="2" t="str">
        <f>HYPERLINK("https://www.nba.com/stats/events?CFID=&amp;CFPARAMS=&amp;GameEventID=305&amp;GameID=0021500928&amp;Season=2015-16&amp;flag=1&amp;title=Bonner%2025'%203PT%20Jump%20Shot%20(6%20PTS)%20(Leonard%205%20AST)", "Bonner 25' 3PT Jump Shot (6 PTS) (Leonard 5 AST)")</f>
        <v>Bonner 25' 3PT Jump Shot (6 PTS) (Leonard 5 AST)</v>
      </c>
      <c r="L2096" s="2" t="str">
        <f>HYPERLINK("https://www.nba.com/game/...-vs-...-0021500928/play-by-play?watchFullGame=true", "SAS vs SAC - Q3 08:43.00")</f>
        <v>SAS vs SAC - Q3 08:43.00</v>
      </c>
      <c r="M2096">
        <v>25</v>
      </c>
      <c r="N2096">
        <v>155</v>
      </c>
      <c r="O2096">
        <v>193</v>
      </c>
      <c r="P2096">
        <v>155</v>
      </c>
      <c r="Q2096">
        <v>193</v>
      </c>
      <c r="R2096" t="s">
        <v>0</v>
      </c>
      <c r="S2096" t="s">
        <v>0</v>
      </c>
      <c r="T2096" t="s">
        <v>0</v>
      </c>
    </row>
    <row r="2097" spans="1:20" x14ac:dyDescent="0.25">
      <c r="A2097">
        <v>21501140</v>
      </c>
      <c r="B2097" t="s">
        <v>4</v>
      </c>
      <c r="C2097" t="s">
        <v>9</v>
      </c>
      <c r="D2097">
        <v>34</v>
      </c>
      <c r="E2097">
        <v>26</v>
      </c>
      <c r="F2097">
        <v>8</v>
      </c>
      <c r="G2097">
        <v>2</v>
      </c>
      <c r="H2097" s="1">
        <v>6.9097222222222225E-3</v>
      </c>
      <c r="I2097">
        <v>2015</v>
      </c>
      <c r="J2097" t="s">
        <v>7</v>
      </c>
      <c r="K2097" s="2" t="str">
        <f>HYPERLINK("https://www.nba.com/stats/events?CFID=&amp;CFPARAMS=&amp;GameEventID=120&amp;GameID=0021501140&amp;Season=2015-16&amp;flag=1&amp;title=West%2018'%20Jump%20Shot%20(4%20PTS)%20(Leonard%203%20AST)", "West 18' Jump Shot (4 PTS) (Leonard 3 AST)")</f>
        <v>West 18' Jump Shot (4 PTS) (Leonard 3 AST)</v>
      </c>
      <c r="L2097" s="2" t="str">
        <f>HYPERLINK("https://www.nba.com/game/...-vs-...-0021501140/play-by-play?watchFullGame=true", "SAS vs TOR - Q2 09:57.00")</f>
        <v>SAS vs TOR - Q2 09:57.00</v>
      </c>
      <c r="M2097">
        <v>18</v>
      </c>
      <c r="N2097">
        <v>46</v>
      </c>
      <c r="O2097">
        <v>178</v>
      </c>
      <c r="P2097">
        <v>46</v>
      </c>
      <c r="Q2097">
        <v>178</v>
      </c>
      <c r="R2097" t="s">
        <v>0</v>
      </c>
      <c r="S2097" t="s">
        <v>0</v>
      </c>
      <c r="T2097" t="s">
        <v>0</v>
      </c>
    </row>
    <row r="2098" spans="1:20" x14ac:dyDescent="0.25">
      <c r="A2098">
        <v>21501201</v>
      </c>
      <c r="B2098" t="s">
        <v>4</v>
      </c>
      <c r="C2098" t="s">
        <v>9</v>
      </c>
      <c r="D2098">
        <v>77</v>
      </c>
      <c r="E2098">
        <v>84</v>
      </c>
      <c r="F2098">
        <v>7</v>
      </c>
      <c r="G2098">
        <v>4</v>
      </c>
      <c r="H2098" s="1">
        <v>2.2800925925925927E-3</v>
      </c>
      <c r="I2098">
        <v>2015</v>
      </c>
      <c r="J2098" t="s">
        <v>7</v>
      </c>
      <c r="K2098" s="2" t="str">
        <f>HYPERLINK("https://www.nba.com/stats/events?CFID=&amp;CFPARAMS=&amp;GameEventID=484&amp;GameID=0021501201&amp;Season=2015-16&amp;flag=1&amp;title=Aldridge%2017'%20Jump%20Shot%20(24%20PTS)%20(Leonard%205%20AST)", "Aldridge 17' Jump Shot (24 PTS) (Leonard 5 AST)")</f>
        <v>Aldridge 17' Jump Shot (24 PTS) (Leonard 5 AST)</v>
      </c>
      <c r="L2098" s="2" t="str">
        <f>HYPERLINK("https://www.nba.com/game/...-vs-...-0021501201/play-by-play?watchFullGame=true", "SAS vs GSW - Q4 03:17.00")</f>
        <v>SAS vs GSW - Q4 03:17.00</v>
      </c>
      <c r="M2098">
        <v>17</v>
      </c>
      <c r="N2098">
        <v>161</v>
      </c>
      <c r="O2098">
        <v>61</v>
      </c>
      <c r="P2098">
        <v>161</v>
      </c>
      <c r="Q2098">
        <v>61</v>
      </c>
      <c r="R2098" t="s">
        <v>0</v>
      </c>
      <c r="S2098" t="s">
        <v>0</v>
      </c>
      <c r="T2098" t="s">
        <v>0</v>
      </c>
    </row>
    <row r="2099" spans="1:20" x14ac:dyDescent="0.25">
      <c r="A2099">
        <v>21600054</v>
      </c>
      <c r="B2099" t="s">
        <v>10</v>
      </c>
      <c r="C2099" t="s">
        <v>9</v>
      </c>
      <c r="D2099">
        <v>95</v>
      </c>
      <c r="E2099">
        <v>123</v>
      </c>
      <c r="F2099">
        <v>28</v>
      </c>
      <c r="G2099">
        <v>4</v>
      </c>
      <c r="H2099" s="1">
        <v>1.6666666666666668E-3</v>
      </c>
      <c r="I2099">
        <v>2016</v>
      </c>
      <c r="J2099" t="s">
        <v>12</v>
      </c>
      <c r="K2099" s="2" t="str">
        <f>HYPERLINK("https://www.nba.com/stats/events?CFID=&amp;CFPARAMS=&amp;GameEventID=522&amp;GameID=0021600054&amp;Season=2016-17&amp;flag=1&amp;title=Layman%2025'%203PT%20Jump%20Shot%20(14%20PTS)%20(Leonard%203%20AST)", "Layman 25' 3PT Jump Shot (14 PTS) (Leonard 3 AST)")</f>
        <v>Layman 25' 3PT Jump Shot (14 PTS) (Leonard 3 AST)</v>
      </c>
      <c r="L2099" s="2" t="str">
        <f>HYPERLINK("https://www.nba.com/game/...-vs-...-0021600054/play-by-play?watchFullGame=true", "POR vs GSW - Q4 02:24.00")</f>
        <v>POR vs GSW - Q4 02:24.00</v>
      </c>
      <c r="M2099">
        <v>25</v>
      </c>
      <c r="N2099">
        <v>-138</v>
      </c>
      <c r="O2099">
        <v>213</v>
      </c>
      <c r="P2099">
        <v>-138</v>
      </c>
      <c r="Q2099">
        <v>213</v>
      </c>
      <c r="R2099" t="s">
        <v>0</v>
      </c>
      <c r="S2099" t="s">
        <v>0</v>
      </c>
      <c r="T2099" t="s">
        <v>0</v>
      </c>
    </row>
    <row r="2100" spans="1:20" x14ac:dyDescent="0.25">
      <c r="A2100">
        <v>21600077</v>
      </c>
      <c r="B2100" t="s">
        <v>10</v>
      </c>
      <c r="C2100" t="s">
        <v>9</v>
      </c>
      <c r="D2100">
        <v>78</v>
      </c>
      <c r="E2100">
        <v>61</v>
      </c>
      <c r="F2100">
        <v>17</v>
      </c>
      <c r="G2100">
        <v>3</v>
      </c>
      <c r="H2100" s="1">
        <v>2.3148148148148147E-3</v>
      </c>
      <c r="I2100">
        <v>2016</v>
      </c>
      <c r="J2100" t="s">
        <v>7</v>
      </c>
      <c r="K2100" s="2" t="str">
        <f>HYPERLINK("https://www.nba.com/stats/events?CFID=&amp;CFPARAMS=&amp;GameEventID=341&amp;GameID=0021600077&amp;Season=2016-17&amp;flag=1&amp;title=Mills%2024'%203PT%20Jump%20Shot%20(16%20PTS)%20(Leonard%204%20AST)", "Mills 24' 3PT Jump Shot (16 PTS) (Leonard 4 AST)")</f>
        <v>Mills 24' 3PT Jump Shot (16 PTS) (Leonard 4 AST)</v>
      </c>
      <c r="L2100" s="2" t="str">
        <f>HYPERLINK("https://www.nba.com/game/...-vs-...-0021600077/play-by-play?watchFullGame=true", "SAS vs UTA - Q3 03:20.00")</f>
        <v>SAS vs UTA - Q3 03:20.00</v>
      </c>
      <c r="M2100">
        <v>24</v>
      </c>
      <c r="N2100">
        <v>-102</v>
      </c>
      <c r="O2100">
        <v>218</v>
      </c>
      <c r="P2100">
        <v>-102</v>
      </c>
      <c r="Q2100">
        <v>218</v>
      </c>
      <c r="R2100" t="s">
        <v>0</v>
      </c>
      <c r="S2100" t="s">
        <v>0</v>
      </c>
      <c r="T2100" t="s">
        <v>0</v>
      </c>
    </row>
    <row r="2101" spans="1:20" x14ac:dyDescent="0.25">
      <c r="A2101">
        <v>21500713</v>
      </c>
      <c r="B2101" t="s">
        <v>4</v>
      </c>
      <c r="C2101" t="s">
        <v>3</v>
      </c>
      <c r="D2101">
        <v>91</v>
      </c>
      <c r="E2101">
        <v>105</v>
      </c>
      <c r="F2101">
        <v>14</v>
      </c>
      <c r="G2101">
        <v>4</v>
      </c>
      <c r="H2101" s="1">
        <v>4.2129629629629626E-3</v>
      </c>
      <c r="I2101">
        <v>2015</v>
      </c>
      <c r="J2101" t="s">
        <v>7</v>
      </c>
      <c r="K2101" s="2" t="str">
        <f>HYPERLINK("https://www.nba.com/stats/events?CFID=&amp;CFPARAMS=&amp;GameEventID=453&amp;GameID=0021500713&amp;Season=2015-16&amp;flag=1&amp;title=Simmons%207'%20Running%20Jump%20Shot%20(6%20PTS)%20(Leonard%202%20AST)", "Simmons 7' Running Jump Shot (6 PTS) (Leonard 2 AST)")</f>
        <v>Simmons 7' Running Jump Shot (6 PTS) (Leonard 2 AST)</v>
      </c>
      <c r="L2101" s="2" t="str">
        <f>HYPERLINK("https://www.nba.com/game/...-vs-...-0021500713/play-by-play?watchFullGame=true", "SAS vs CLE - Q4 06:04.00")</f>
        <v>SAS vs CLE - Q4 06:04.00</v>
      </c>
      <c r="M2101">
        <v>7</v>
      </c>
      <c r="N2101">
        <v>58</v>
      </c>
      <c r="O2101">
        <v>38</v>
      </c>
      <c r="P2101">
        <v>58</v>
      </c>
      <c r="Q2101">
        <v>38</v>
      </c>
      <c r="R2101" t="s">
        <v>0</v>
      </c>
      <c r="S2101" t="s">
        <v>0</v>
      </c>
      <c r="T2101" t="s">
        <v>0</v>
      </c>
    </row>
    <row r="2102" spans="1:20" x14ac:dyDescent="0.25">
      <c r="A2102">
        <v>21500748</v>
      </c>
      <c r="B2102" t="s">
        <v>4</v>
      </c>
      <c r="C2102" t="s">
        <v>23</v>
      </c>
      <c r="D2102">
        <v>73</v>
      </c>
      <c r="E2102">
        <v>78</v>
      </c>
      <c r="F2102">
        <v>5</v>
      </c>
      <c r="G2102">
        <v>3</v>
      </c>
      <c r="H2102" s="1">
        <v>1.1689814814814816E-3</v>
      </c>
      <c r="I2102">
        <v>2015</v>
      </c>
      <c r="J2102" t="s">
        <v>12</v>
      </c>
      <c r="K2102" s="2" t="str">
        <f>HYPERLINK("https://www.nba.com/stats/events?CFID=&amp;CFPARAMS=&amp;GameEventID=362&amp;GameID=0021500748&amp;Season=2015-16&amp;flag=1&amp;title=Henderson%201'%20Driving%20Layup%20(8%20PTS)%20(Leonard%203%20AST)", "Henderson 1' Driving Layup (8 PTS) (Leonard 3 AST)")</f>
        <v>Henderson 1' Driving Layup (8 PTS) (Leonard 3 AST)</v>
      </c>
      <c r="L2102" s="2" t="str">
        <f>HYPERLINK("https://www.nba.com/game/...-vs-...-0021500748/play-by-play?watchFullGame=true", "POR vs TOR - Q3 01:41.00")</f>
        <v>POR vs TOR - Q3 01:41.00</v>
      </c>
      <c r="M2102">
        <v>1</v>
      </c>
      <c r="N2102">
        <v>-11</v>
      </c>
      <c r="O2102">
        <v>2</v>
      </c>
      <c r="P2102">
        <v>-11</v>
      </c>
      <c r="Q2102">
        <v>2</v>
      </c>
      <c r="R2102" t="s">
        <v>0</v>
      </c>
      <c r="S2102" t="s">
        <v>0</v>
      </c>
      <c r="T2102" t="s">
        <v>0</v>
      </c>
    </row>
    <row r="2103" spans="1:20" x14ac:dyDescent="0.25">
      <c r="A2103">
        <v>21500759</v>
      </c>
      <c r="B2103" t="s">
        <v>4</v>
      </c>
      <c r="C2103" t="s">
        <v>17</v>
      </c>
      <c r="D2103">
        <v>69</v>
      </c>
      <c r="E2103">
        <v>36</v>
      </c>
      <c r="F2103">
        <v>33</v>
      </c>
      <c r="G2103">
        <v>3</v>
      </c>
      <c r="H2103" s="1">
        <v>5.6481481481481478E-3</v>
      </c>
      <c r="I2103">
        <v>2015</v>
      </c>
      <c r="J2103" t="s">
        <v>7</v>
      </c>
      <c r="K2103" s="2" t="str">
        <f>HYPERLINK("https://www.nba.com/stats/events?CFID=&amp;CFPARAMS=&amp;GameEventID=286&amp;GameID=0021500759&amp;Season=2015-16&amp;flag=1&amp;title=Parker%207'%20Floating%20Jump%20Shot%20(7%20PTS)%20(Leonard%201%20AST)", "Parker 7' Floating Jump Shot (7 PTS) (Leonard 1 AST)")</f>
        <v>Parker 7' Floating Jump Shot (7 PTS) (Leonard 1 AST)</v>
      </c>
      <c r="L2103" s="2" t="str">
        <f>HYPERLINK("https://www.nba.com/game/...-vs-...-0021500759/play-by-play?watchFullGame=true", "SAS vs DAL - Q3 08:08.00")</f>
        <v>SAS vs DAL - Q3 08:08.00</v>
      </c>
      <c r="M2103">
        <v>7</v>
      </c>
      <c r="N2103">
        <v>19</v>
      </c>
      <c r="O2103">
        <v>65</v>
      </c>
      <c r="P2103">
        <v>19</v>
      </c>
      <c r="Q2103">
        <v>65</v>
      </c>
      <c r="R2103" t="s">
        <v>0</v>
      </c>
      <c r="S2103" t="s">
        <v>0</v>
      </c>
      <c r="T2103" t="s">
        <v>0</v>
      </c>
    </row>
    <row r="2104" spans="1:20" x14ac:dyDescent="0.25">
      <c r="A2104">
        <v>21500767</v>
      </c>
      <c r="B2104" t="s">
        <v>4</v>
      </c>
      <c r="C2104" t="s">
        <v>24</v>
      </c>
      <c r="D2104">
        <v>64</v>
      </c>
      <c r="E2104">
        <v>57</v>
      </c>
      <c r="F2104">
        <v>7</v>
      </c>
      <c r="G2104">
        <v>3</v>
      </c>
      <c r="H2104" s="1">
        <v>5.8217592592592592E-3</v>
      </c>
      <c r="I2104">
        <v>2015</v>
      </c>
      <c r="J2104" t="s">
        <v>7</v>
      </c>
      <c r="K2104" s="2" t="str">
        <f>HYPERLINK("https://www.nba.com/stats/events?CFID=&amp;CFPARAMS=&amp;GameEventID=311&amp;GameID=0021500767&amp;Season=2015-16&amp;flag=1&amp;title=Parker%202'%20Cutting%20Finger%20Roll%20Layup%20Shot%20(4%20PTS)%20(Leonard%201%20AST)", "Parker 2' Cutting Finger Roll Layup Shot (4 PTS) (Leonard 1 AST)")</f>
        <v>Parker 2' Cutting Finger Roll Layup Shot (4 PTS) (Leonard 1 AST)</v>
      </c>
      <c r="L2104" s="2" t="str">
        <f>HYPERLINK("https://www.nba.com/game/...-vs-...-0021500767/play-by-play?watchFullGame=true", "SAS vs LAL - Q3 08:23.00")</f>
        <v>SAS vs LAL - Q3 08:23.00</v>
      </c>
      <c r="M2104">
        <v>2</v>
      </c>
      <c r="N2104">
        <v>-17</v>
      </c>
      <c r="O2104">
        <v>11</v>
      </c>
      <c r="P2104">
        <v>-17</v>
      </c>
      <c r="Q2104">
        <v>11</v>
      </c>
      <c r="R2104" t="s">
        <v>0</v>
      </c>
      <c r="S2104" t="s">
        <v>0</v>
      </c>
      <c r="T2104" t="s">
        <v>0</v>
      </c>
    </row>
    <row r="2105" spans="1:20" x14ac:dyDescent="0.25">
      <c r="A2105">
        <v>21500784</v>
      </c>
      <c r="B2105" t="s">
        <v>4</v>
      </c>
      <c r="C2105" t="s">
        <v>50</v>
      </c>
      <c r="D2105">
        <v>50</v>
      </c>
      <c r="E2105">
        <v>47</v>
      </c>
      <c r="F2105">
        <v>3</v>
      </c>
      <c r="G2105">
        <v>2</v>
      </c>
      <c r="H2105" s="1">
        <v>8.1018518518518516E-4</v>
      </c>
      <c r="I2105">
        <v>2015</v>
      </c>
      <c r="J2105" t="s">
        <v>7</v>
      </c>
      <c r="K2105" s="2" t="str">
        <f>HYPERLINK("https://www.nba.com/stats/events?CFID=&amp;CFPARAMS=&amp;GameEventID=231&amp;GameID=0021500784&amp;Season=2015-16&amp;flag=1&amp;title=Aldridge%203'%20Finger%20Roll%20Layup%20(14%20PTS)%20(Leonard%203%20AST)", "Aldridge 3' Finger Roll Layup (14 PTS) (Leonard 3 AST)")</f>
        <v>Aldridge 3' Finger Roll Layup (14 PTS) (Leonard 3 AST)</v>
      </c>
      <c r="L2105" s="2" t="str">
        <f>HYPERLINK("https://www.nba.com/game/...-vs-...-0021500784/play-by-play?watchFullGame=true", "SAS vs MIA - Q2 01:10.00")</f>
        <v>SAS vs MIA - Q2 01:10.00</v>
      </c>
      <c r="M2105">
        <v>3</v>
      </c>
      <c r="N2105">
        <v>30</v>
      </c>
      <c r="O2105">
        <v>18</v>
      </c>
      <c r="P2105">
        <v>30</v>
      </c>
      <c r="Q2105">
        <v>18</v>
      </c>
      <c r="R2105" t="s">
        <v>0</v>
      </c>
      <c r="S2105" t="s">
        <v>0</v>
      </c>
      <c r="T2105" t="s">
        <v>0</v>
      </c>
    </row>
    <row r="2106" spans="1:20" x14ac:dyDescent="0.25">
      <c r="A2106">
        <v>21500905</v>
      </c>
      <c r="B2106" t="s">
        <v>4</v>
      </c>
      <c r="C2106" t="s">
        <v>9</v>
      </c>
      <c r="D2106">
        <v>64</v>
      </c>
      <c r="E2106">
        <v>54</v>
      </c>
      <c r="F2106">
        <v>10</v>
      </c>
      <c r="G2106">
        <v>3</v>
      </c>
      <c r="H2106" s="1">
        <v>5.5787037037037038E-3</v>
      </c>
      <c r="I2106">
        <v>2015</v>
      </c>
      <c r="J2106" t="s">
        <v>7</v>
      </c>
      <c r="K2106" s="2" t="str">
        <f>HYPERLINK("https://www.nba.com/stats/events?CFID=&amp;CFPARAMS=&amp;GameEventID=234&amp;GameID=0021500905&amp;Season=2015-16&amp;flag=1&amp;title=Aldridge%2018'%20Jump%20Shot%20(12%20PTS)%20(Leonard%204%20AST)", "Aldridge 18' Jump Shot (12 PTS) (Leonard 4 AST)")</f>
        <v>Aldridge 18' Jump Shot (12 PTS) (Leonard 4 AST)</v>
      </c>
      <c r="L2106" s="2" t="str">
        <f>HYPERLINK("https://www.nba.com/game/...-vs-...-0021500905/play-by-play?watchFullGame=true", "SAS vs DET - Q3 08:02.00")</f>
        <v>SAS vs DET - Q3 08:02.00</v>
      </c>
      <c r="M2106">
        <v>18</v>
      </c>
      <c r="N2106">
        <v>-179</v>
      </c>
      <c r="O2106">
        <v>-1</v>
      </c>
      <c r="P2106">
        <v>-179</v>
      </c>
      <c r="Q2106">
        <v>-1</v>
      </c>
      <c r="R2106" t="s">
        <v>0</v>
      </c>
      <c r="S2106" t="s">
        <v>0</v>
      </c>
      <c r="T2106" t="s">
        <v>0</v>
      </c>
    </row>
    <row r="2107" spans="1:20" x14ac:dyDescent="0.25">
      <c r="A2107">
        <v>21500928</v>
      </c>
      <c r="B2107" t="s">
        <v>4</v>
      </c>
      <c r="C2107" t="s">
        <v>26</v>
      </c>
      <c r="D2107">
        <v>54</v>
      </c>
      <c r="E2107">
        <v>49</v>
      </c>
      <c r="F2107">
        <v>5</v>
      </c>
      <c r="G2107">
        <v>2</v>
      </c>
      <c r="H2107" s="1">
        <v>8.4490740740740739E-4</v>
      </c>
      <c r="I2107">
        <v>2015</v>
      </c>
      <c r="J2107" t="s">
        <v>7</v>
      </c>
      <c r="K2107" s="2" t="str">
        <f>HYPERLINK("https://www.nba.com/stats/events?CFID=&amp;CFPARAMS=&amp;GameEventID=261&amp;GameID=0021500928&amp;Season=2015-16&amp;flag=1&amp;title=Ginobili%201'%20Reverse%20Layup%20(9%20PTS)%20(Leonard%204%20AST)", "Ginobili 1' Reverse Layup (9 PTS) (Leonard 4 AST)")</f>
        <v>Ginobili 1' Reverse Layup (9 PTS) (Leonard 4 AST)</v>
      </c>
      <c r="L2107" s="2" t="str">
        <f>HYPERLINK("https://www.nba.com/game/...-vs-...-0021500928/play-by-play?watchFullGame=true", "SAS vs SAC - Q2 01:13.00")</f>
        <v>SAS vs SAC - Q2 01:13.00</v>
      </c>
      <c r="M2107">
        <v>1</v>
      </c>
      <c r="N2107">
        <v>-14</v>
      </c>
      <c r="O2107">
        <v>0</v>
      </c>
      <c r="P2107">
        <v>-14</v>
      </c>
      <c r="Q2107">
        <v>0</v>
      </c>
      <c r="R2107" t="s">
        <v>0</v>
      </c>
      <c r="S2107" t="s">
        <v>0</v>
      </c>
      <c r="T2107" t="s">
        <v>0</v>
      </c>
    </row>
    <row r="2108" spans="1:20" x14ac:dyDescent="0.25">
      <c r="A2108">
        <v>21500971</v>
      </c>
      <c r="B2108" t="s">
        <v>10</v>
      </c>
      <c r="C2108" t="s">
        <v>19</v>
      </c>
      <c r="D2108">
        <v>77</v>
      </c>
      <c r="E2108">
        <v>104</v>
      </c>
      <c r="F2108">
        <v>27</v>
      </c>
      <c r="G2108">
        <v>3</v>
      </c>
      <c r="H2108" s="1">
        <v>2.3379629629629631E-3</v>
      </c>
      <c r="I2108">
        <v>2015</v>
      </c>
      <c r="J2108" t="s">
        <v>12</v>
      </c>
      <c r="K2108" s="2" t="str">
        <f>HYPERLINK("https://www.nba.com/stats/events?CFID=&amp;CFPARAMS=&amp;GameEventID=379&amp;GameID=0021500971&amp;Season=2015-16&amp;flag=1&amp;title=McCollum%2030'%203PT%20Pullup%20Jump%20Shot%20(18%20PTS)%20(Leonard%203%20AST)", "McCollum 30' 3PT Pullup Jump Shot (18 PTS) (Leonard 3 AST)")</f>
        <v>McCollum 30' 3PT Pullup Jump Shot (18 PTS) (Leonard 3 AST)</v>
      </c>
      <c r="L2108" s="2" t="str">
        <f>HYPERLINK("https://www.nba.com/game/...-vs-...-0021500971/play-by-play?watchFullGame=true", "POR vs GSW - Q3 03:22.00")</f>
        <v>POR vs GSW - Q3 03:22.00</v>
      </c>
      <c r="M2108">
        <v>30</v>
      </c>
      <c r="N2108">
        <v>-189</v>
      </c>
      <c r="O2108">
        <v>232</v>
      </c>
      <c r="P2108">
        <v>-189</v>
      </c>
      <c r="Q2108">
        <v>232</v>
      </c>
      <c r="R2108" t="s">
        <v>0</v>
      </c>
      <c r="S2108" t="s">
        <v>0</v>
      </c>
      <c r="T2108" t="s">
        <v>0</v>
      </c>
    </row>
    <row r="2109" spans="1:20" x14ac:dyDescent="0.25">
      <c r="A2109">
        <v>21501140</v>
      </c>
      <c r="B2109" t="s">
        <v>4</v>
      </c>
      <c r="C2109" t="s">
        <v>46</v>
      </c>
      <c r="D2109">
        <v>71</v>
      </c>
      <c r="E2109">
        <v>60</v>
      </c>
      <c r="F2109">
        <v>11</v>
      </c>
      <c r="G2109">
        <v>3</v>
      </c>
      <c r="H2109" s="1">
        <v>1.8055555555555555E-3</v>
      </c>
      <c r="I2109">
        <v>2015</v>
      </c>
      <c r="J2109" t="s">
        <v>7</v>
      </c>
      <c r="K2109" s="2" t="str">
        <f>HYPERLINK("https://www.nba.com/stats/events?CFID=&amp;CFPARAMS=&amp;GameEventID=308&amp;GameID=0021501140&amp;Season=2015-16&amp;flag=1&amp;title=Aldridge%208'%20Turnaround%20Hook%20Shot%20(29%20PTS)%20(Leonard%206%20AST)", "Aldridge 8' Turnaround Hook Shot (29 PTS) (Leonard 6 AST)")</f>
        <v>Aldridge 8' Turnaround Hook Shot (29 PTS) (Leonard 6 AST)</v>
      </c>
      <c r="L2109" s="2" t="str">
        <f>HYPERLINK("https://www.nba.com/game/...-vs-...-0021501140/play-by-play?watchFullGame=true", "SAS vs TOR - Q3 02:36.00")</f>
        <v>SAS vs TOR - Q3 02:36.00</v>
      </c>
      <c r="M2109">
        <v>8</v>
      </c>
      <c r="N2109">
        <v>-79</v>
      </c>
      <c r="O2109">
        <v>26</v>
      </c>
      <c r="P2109">
        <v>-79</v>
      </c>
      <c r="Q2109">
        <v>26</v>
      </c>
      <c r="R2109" t="s">
        <v>0</v>
      </c>
      <c r="S2109" t="s">
        <v>0</v>
      </c>
      <c r="T2109" t="s">
        <v>0</v>
      </c>
    </row>
    <row r="2110" spans="1:20" x14ac:dyDescent="0.25">
      <c r="A2110">
        <v>21600002</v>
      </c>
      <c r="B2110" t="s">
        <v>10</v>
      </c>
      <c r="C2110" t="s">
        <v>19</v>
      </c>
      <c r="D2110">
        <v>71</v>
      </c>
      <c r="E2110">
        <v>71</v>
      </c>
      <c r="F2110">
        <v>0</v>
      </c>
      <c r="G2110">
        <v>3</v>
      </c>
      <c r="H2110" s="1">
        <v>3.1365740740740742E-3</v>
      </c>
      <c r="I2110">
        <v>2016</v>
      </c>
      <c r="J2110" t="s">
        <v>12</v>
      </c>
      <c r="K2110" s="2" t="str">
        <f>HYPERLINK("https://www.nba.com/stats/events?CFID=&amp;CFPARAMS=&amp;GameEventID=305&amp;GameID=0021600002&amp;Season=2016-17&amp;flag=1&amp;title=Aminu%2024'%203PT%20Pullup%20Jump%20Shot%20(9%20PTS)%20(Leonard%201%20AST)", "Aminu 24' 3PT Pullup Jump Shot (9 PTS) (Leonard 1 AST)")</f>
        <v>Aminu 24' 3PT Pullup Jump Shot (9 PTS) (Leonard 1 AST)</v>
      </c>
      <c r="L2110" s="2" t="str">
        <f>HYPERLINK("https://www.nba.com/game/...-vs-...-0021600002/play-by-play?watchFullGame=true", "POR vs UTA - Q3 04:31.00")</f>
        <v>POR vs UTA - Q3 04:31.00</v>
      </c>
      <c r="M2110">
        <v>24</v>
      </c>
      <c r="N2110">
        <v>123</v>
      </c>
      <c r="O2110">
        <v>210</v>
      </c>
      <c r="P2110">
        <v>123</v>
      </c>
      <c r="Q2110">
        <v>210</v>
      </c>
      <c r="R2110" t="s">
        <v>0</v>
      </c>
      <c r="S2110" t="s">
        <v>0</v>
      </c>
      <c r="T2110" t="s">
        <v>0</v>
      </c>
    </row>
    <row r="2111" spans="1:20" x14ac:dyDescent="0.25">
      <c r="A2111">
        <v>21600037</v>
      </c>
      <c r="B2111" t="s">
        <v>10</v>
      </c>
      <c r="C2111" t="s">
        <v>9</v>
      </c>
      <c r="D2111">
        <v>30</v>
      </c>
      <c r="E2111">
        <v>21</v>
      </c>
      <c r="F2111">
        <v>9</v>
      </c>
      <c r="G2111">
        <v>2</v>
      </c>
      <c r="H2111" s="1">
        <v>7.3148148148148148E-3</v>
      </c>
      <c r="I2111">
        <v>2016</v>
      </c>
      <c r="J2111" t="s">
        <v>7</v>
      </c>
      <c r="K2111" s="2" t="str">
        <f>HYPERLINK("https://www.nba.com/stats/events?CFID=&amp;CFPARAMS=&amp;GameEventID=132&amp;GameID=0021600037&amp;Season=2016-17&amp;flag=1&amp;title=Mills%2025'%203PT%20Jump%20Shot%20(3%20PTS)%20(Leonard%201%20AST)", "Mills 25' 3PT Jump Shot (3 PTS) (Leonard 1 AST)")</f>
        <v>Mills 25' 3PT Jump Shot (3 PTS) (Leonard 1 AST)</v>
      </c>
      <c r="L2111" s="2" t="str">
        <f>HYPERLINK("https://www.nba.com/game/...-vs-...-0021600037/play-by-play?watchFullGame=true", "SAS vs MIA - Q2 10:32.00")</f>
        <v>SAS vs MIA - Q2 10:32.00</v>
      </c>
      <c r="M2111">
        <v>25</v>
      </c>
      <c r="N2111">
        <v>245</v>
      </c>
      <c r="O2111">
        <v>11</v>
      </c>
      <c r="P2111">
        <v>245</v>
      </c>
      <c r="Q2111">
        <v>11</v>
      </c>
      <c r="R2111" t="s">
        <v>0</v>
      </c>
      <c r="S2111" t="s">
        <v>0</v>
      </c>
      <c r="T2111" t="s">
        <v>0</v>
      </c>
    </row>
    <row r="2112" spans="1:20" x14ac:dyDescent="0.25">
      <c r="A2112">
        <v>21600128</v>
      </c>
      <c r="B2112" t="s">
        <v>4</v>
      </c>
      <c r="C2112" t="s">
        <v>9</v>
      </c>
      <c r="D2112">
        <v>64</v>
      </c>
      <c r="E2112">
        <v>57</v>
      </c>
      <c r="F2112">
        <v>7</v>
      </c>
      <c r="G2112">
        <v>3</v>
      </c>
      <c r="H2112" s="1">
        <v>8.1018518518518514E-3</v>
      </c>
      <c r="I2112">
        <v>2016</v>
      </c>
      <c r="J2112" t="s">
        <v>12</v>
      </c>
      <c r="K2112" s="2" t="str">
        <f>HYPERLINK("https://www.nba.com/stats/events?CFID=&amp;CFPARAMS=&amp;GameEventID=273&amp;GameID=0021600128&amp;Season=2016-17&amp;flag=1&amp;title=Plumlee%202'%20Jump%20Shot%20(6%20PTS)%20(Leonard%201%20AST)", "Plumlee 2' Jump Shot (6 PTS) (Leonard 1 AST)")</f>
        <v>Plumlee 2' Jump Shot (6 PTS) (Leonard 1 AST)</v>
      </c>
      <c r="L2112" s="2" t="str">
        <f>HYPERLINK("https://www.nba.com/game/...-vs-...-0021600128/play-by-play?watchFullGame=true", "POR vs SAC - Q3 11:40.00")</f>
        <v>POR vs SAC - Q3 11:40.00</v>
      </c>
      <c r="M2112">
        <v>2</v>
      </c>
      <c r="N2112">
        <v>-20</v>
      </c>
      <c r="O2112">
        <v>7</v>
      </c>
      <c r="P2112">
        <v>-20</v>
      </c>
      <c r="Q2112">
        <v>7</v>
      </c>
      <c r="R2112" t="s">
        <v>0</v>
      </c>
      <c r="S2112" t="s">
        <v>0</v>
      </c>
      <c r="T2112" t="s">
        <v>0</v>
      </c>
    </row>
    <row r="2113" spans="1:20" x14ac:dyDescent="0.25">
      <c r="A2113">
        <v>21600308</v>
      </c>
      <c r="B2113" t="s">
        <v>10</v>
      </c>
      <c r="C2113" t="s">
        <v>9</v>
      </c>
      <c r="D2113">
        <v>86</v>
      </c>
      <c r="E2113">
        <v>87</v>
      </c>
      <c r="F2113">
        <v>1</v>
      </c>
      <c r="G2113">
        <v>3</v>
      </c>
      <c r="H2113" s="1">
        <v>3.472222222222222E-6</v>
      </c>
      <c r="I2113">
        <v>2016</v>
      </c>
      <c r="J2113" t="s">
        <v>12</v>
      </c>
      <c r="K2113" s="2" t="str">
        <f>HYPERLINK("https://www.nba.com/stats/events?CFID=&amp;CFPARAMS=&amp;GameEventID=432&amp;GameID=0021600308&amp;Season=2016-17&amp;flag=1&amp;title=McCollum%2026'%203PT%20Jump%20Shot%20(21%20PTS)%20(Leonard%202%20AST)", "McCollum 26' 3PT Jump Shot (21 PTS) (Leonard 2 AST)")</f>
        <v>McCollum 26' 3PT Jump Shot (21 PTS) (Leonard 2 AST)</v>
      </c>
      <c r="L2113" s="2" t="str">
        <f>HYPERLINK("https://www.nba.com/game/...-vs-...-0021600308/play-by-play?watchFullGame=true", "POR vs CHI - Q3 00:00.30")</f>
        <v>POR vs CHI - Q3 00:00.30</v>
      </c>
      <c r="M2113">
        <v>26</v>
      </c>
      <c r="N2113">
        <v>-66</v>
      </c>
      <c r="O2113">
        <v>249</v>
      </c>
      <c r="P2113">
        <v>-66</v>
      </c>
      <c r="Q2113">
        <v>249</v>
      </c>
      <c r="R2113" t="s">
        <v>0</v>
      </c>
      <c r="S2113" t="s">
        <v>0</v>
      </c>
      <c r="T2113" t="s">
        <v>0</v>
      </c>
    </row>
    <row r="2114" spans="1:20" x14ac:dyDescent="0.25">
      <c r="A2114">
        <v>21600383</v>
      </c>
      <c r="B2114" t="s">
        <v>4</v>
      </c>
      <c r="C2114" t="s">
        <v>9</v>
      </c>
      <c r="D2114">
        <v>74</v>
      </c>
      <c r="E2114">
        <v>68</v>
      </c>
      <c r="F2114">
        <v>6</v>
      </c>
      <c r="G2114">
        <v>3</v>
      </c>
      <c r="H2114" s="1">
        <v>1.238425925925926E-3</v>
      </c>
      <c r="I2114">
        <v>2016</v>
      </c>
      <c r="J2114" t="s">
        <v>7</v>
      </c>
      <c r="K2114" s="2" t="str">
        <f>HYPERLINK("https://www.nba.com/stats/events?CFID=&amp;CFPARAMS=&amp;GameEventID=342&amp;GameID=0021600383&amp;Season=2016-17&amp;flag=1&amp;title=Gasol%2019'%20Jump%20Shot%20(10%20PTS)%20(Leonard%204%20AST)", "Gasol 19' Jump Shot (10 PTS) (Leonard 4 AST)")</f>
        <v>Gasol 19' Jump Shot (10 PTS) (Leonard 4 AST)</v>
      </c>
      <c r="L2114" s="2" t="str">
        <f>HYPERLINK("https://www.nba.com/game/...-vs-...-0021600383/play-by-play?watchFullGame=true", "SAS vs BOS - Q3 01:47.00")</f>
        <v>SAS vs BOS - Q3 01:47.00</v>
      </c>
      <c r="M2114">
        <v>19</v>
      </c>
      <c r="N2114">
        <v>-130</v>
      </c>
      <c r="O2114">
        <v>134</v>
      </c>
      <c r="P2114">
        <v>-130</v>
      </c>
      <c r="Q2114">
        <v>134</v>
      </c>
      <c r="R2114" t="s">
        <v>0</v>
      </c>
      <c r="S2114" t="s">
        <v>0</v>
      </c>
      <c r="T2114" t="s">
        <v>0</v>
      </c>
    </row>
    <row r="2115" spans="1:20" x14ac:dyDescent="0.25">
      <c r="A2115">
        <v>21600425</v>
      </c>
      <c r="B2115" t="s">
        <v>4</v>
      </c>
      <c r="C2115" t="s">
        <v>25</v>
      </c>
      <c r="D2115">
        <v>20</v>
      </c>
      <c r="E2115">
        <v>18</v>
      </c>
      <c r="F2115">
        <v>2</v>
      </c>
      <c r="G2115">
        <v>1</v>
      </c>
      <c r="H2115" s="1">
        <v>1.6319444444444445E-3</v>
      </c>
      <c r="I2115">
        <v>2016</v>
      </c>
      <c r="J2115" t="s">
        <v>7</v>
      </c>
      <c r="K2115" s="2" t="str">
        <f>HYPERLINK("https://www.nba.com/stats/events?CFID=&amp;CFPARAMS=&amp;GameEventID=104&amp;GameID=0021600425&amp;Season=2016-17&amp;flag=1&amp;title=Mills%203'%20Running%20Finger%20Roll%20Layup%20(2%20PTS)%20(Leonard%201%20AST)", "Mills 3' Running Finger Roll Layup (2 PTS) (Leonard 1 AST)")</f>
        <v>Mills 3' Running Finger Roll Layup (2 PTS) (Leonard 1 AST)</v>
      </c>
      <c r="L2115" s="2" t="str">
        <f>HYPERLINK("https://www.nba.com/game/...-vs-...-0021600425/play-by-play?watchFullGame=true", "SAS vs HOU - Q1 02:21.00")</f>
        <v>SAS vs HOU - Q1 02:21.00</v>
      </c>
      <c r="M2115">
        <v>3</v>
      </c>
      <c r="N2115">
        <v>-27</v>
      </c>
      <c r="O2115">
        <v>11</v>
      </c>
      <c r="P2115">
        <v>-27</v>
      </c>
      <c r="Q2115">
        <v>11</v>
      </c>
      <c r="R2115" t="s">
        <v>0</v>
      </c>
      <c r="S2115" t="s">
        <v>0</v>
      </c>
      <c r="T2115" t="s">
        <v>0</v>
      </c>
    </row>
    <row r="2116" spans="1:20" x14ac:dyDescent="0.25">
      <c r="A2116">
        <v>21600543</v>
      </c>
      <c r="B2116" t="s">
        <v>4</v>
      </c>
      <c r="C2116" t="s">
        <v>9</v>
      </c>
      <c r="D2116">
        <v>48</v>
      </c>
      <c r="E2116">
        <v>44</v>
      </c>
      <c r="F2116">
        <v>4</v>
      </c>
      <c r="G2116">
        <v>2</v>
      </c>
      <c r="H2116" s="1">
        <v>2.476851851851852E-3</v>
      </c>
      <c r="I2116">
        <v>2016</v>
      </c>
      <c r="J2116" t="s">
        <v>7</v>
      </c>
      <c r="K2116" s="2" t="str">
        <f>HYPERLINK("https://www.nba.com/stats/events?CFID=&amp;CFPARAMS=&amp;GameEventID=185&amp;GameID=0021600543&amp;Season=2016-17&amp;flag=1&amp;title=Gasol%2022'%20Jump%20Shot%20(11%20PTS)%20(Leonard%202%20AST)", "Gasol 22' Jump Shot (11 PTS) (Leonard 2 AST)")</f>
        <v>Gasol 22' Jump Shot (11 PTS) (Leonard 2 AST)</v>
      </c>
      <c r="L2116" s="2" t="str">
        <f>HYPERLINK("https://www.nba.com/game/...-vs-...-0021600543/play-by-play?watchFullGame=true", "SAS vs DEN - Q2 03:34.00")</f>
        <v>SAS vs DEN - Q2 03:34.00</v>
      </c>
      <c r="M2116">
        <v>22</v>
      </c>
      <c r="N2116">
        <v>-2</v>
      </c>
      <c r="O2116">
        <v>223</v>
      </c>
      <c r="P2116">
        <v>-2</v>
      </c>
      <c r="Q2116">
        <v>223</v>
      </c>
      <c r="R2116" t="s">
        <v>0</v>
      </c>
      <c r="S2116" t="s">
        <v>0</v>
      </c>
      <c r="T2116" t="s">
        <v>0</v>
      </c>
    </row>
    <row r="2117" spans="1:20" x14ac:dyDescent="0.25">
      <c r="A2117">
        <v>21800470</v>
      </c>
      <c r="B2117" t="s">
        <v>10</v>
      </c>
      <c r="C2117" t="s">
        <v>19</v>
      </c>
      <c r="D2117">
        <v>12</v>
      </c>
      <c r="E2117">
        <v>2</v>
      </c>
      <c r="F2117">
        <v>10</v>
      </c>
      <c r="G2117">
        <v>1</v>
      </c>
      <c r="H2117" s="1">
        <v>6.3888888888888893E-3</v>
      </c>
      <c r="I2117">
        <v>2018</v>
      </c>
      <c r="J2117" t="s">
        <v>1</v>
      </c>
      <c r="K2117" s="2" t="str">
        <f>HYPERLINK("https://www.nba.com/stats/events?CFID=&amp;CFPARAMS=&amp;GameEventID=28&amp;GameID=0021800470&amp;Season=2018-19&amp;flag=1&amp;title=Anunoby%2025'%203PT%20Pullup%20Jump%20Shot%20(8%20PTS)%20(Leonard%201%20AST)", "Anunoby 25' 3PT Pullup Jump Shot (8 PTS) (Leonard 1 AST)")</f>
        <v>Anunoby 25' 3PT Pullup Jump Shot (8 PTS) (Leonard 1 AST)</v>
      </c>
      <c r="L2117" s="2" t="str">
        <f>HYPERLINK("https://www.nba.com/game/...-vs-...-0021800470/play-by-play?watchFullGame=true", "TOR vs CLE - Q1 09:12.00")</f>
        <v>TOR vs CLE - Q1 09:12.00</v>
      </c>
      <c r="M2117">
        <v>25</v>
      </c>
      <c r="N2117">
        <v>57</v>
      </c>
      <c r="O2117">
        <v>245</v>
      </c>
      <c r="P2117">
        <v>57</v>
      </c>
      <c r="Q2117">
        <v>245</v>
      </c>
      <c r="R2117" t="s">
        <v>0</v>
      </c>
      <c r="S2117" t="s">
        <v>0</v>
      </c>
      <c r="T2117" t="s">
        <v>0</v>
      </c>
    </row>
    <row r="2118" spans="1:20" x14ac:dyDescent="0.25">
      <c r="A2118">
        <v>21800552</v>
      </c>
      <c r="B2118" t="s">
        <v>10</v>
      </c>
      <c r="C2118" t="s">
        <v>9</v>
      </c>
      <c r="D2118">
        <v>21</v>
      </c>
      <c r="E2118">
        <v>21</v>
      </c>
      <c r="F2118">
        <v>0</v>
      </c>
      <c r="G2118">
        <v>1</v>
      </c>
      <c r="H2118" s="1">
        <v>2.2106481481481482E-3</v>
      </c>
      <c r="I2118">
        <v>2018</v>
      </c>
      <c r="J2118" t="s">
        <v>12</v>
      </c>
      <c r="K2118" s="2" t="str">
        <f>HYPERLINK("https://www.nba.com/stats/events?CFID=&amp;CFPARAMS=&amp;GameEventID=130&amp;GameID=0021800552&amp;Season=2018-19&amp;flag=1&amp;title=Curry%203PT%20Jump%20Shot%20(3%20PTS)%20(Leonard%201%20AST)", "Curry 3PT Jump Shot (3 PTS) (Leonard 1 AST)")</f>
        <v>Curry 3PT Jump Shot (3 PTS) (Leonard 1 AST)</v>
      </c>
      <c r="L2118" s="2" t="str">
        <f>HYPERLINK("https://www.nba.com/game/...-vs-...-0021800552/play-by-play?watchFullGame=true", "POR vs SAC - Q1 03:11.00")</f>
        <v>POR vs SAC - Q1 03:11.00</v>
      </c>
      <c r="M2118">
        <v>0</v>
      </c>
      <c r="N2118">
        <v>-227</v>
      </c>
      <c r="O2118">
        <v>1</v>
      </c>
      <c r="P2118">
        <v>-227</v>
      </c>
      <c r="Q2118">
        <v>1</v>
      </c>
      <c r="R2118" t="s">
        <v>0</v>
      </c>
      <c r="S2118" t="s">
        <v>0</v>
      </c>
      <c r="T2118" t="s">
        <v>0</v>
      </c>
    </row>
    <row r="2119" spans="1:20" x14ac:dyDescent="0.25">
      <c r="A2119">
        <v>21800580</v>
      </c>
      <c r="B2119" t="s">
        <v>4</v>
      </c>
      <c r="C2119" t="s">
        <v>9</v>
      </c>
      <c r="D2119">
        <v>78</v>
      </c>
      <c r="E2119">
        <v>67</v>
      </c>
      <c r="F2119">
        <v>11</v>
      </c>
      <c r="G2119">
        <v>3</v>
      </c>
      <c r="H2119" s="1">
        <v>3.5300925925925925E-3</v>
      </c>
      <c r="I2119">
        <v>2018</v>
      </c>
      <c r="J2119" t="s">
        <v>1</v>
      </c>
      <c r="K2119" s="2" t="str">
        <f>HYPERLINK("https://www.nba.com/stats/events?CFID=&amp;CFPARAMS=&amp;GameEventID=395&amp;GameID=0021800580&amp;Season=2018-19&amp;flag=1&amp;title=Ibaka%2014'%20Jump%20Shot%20(19%20PTS)%20(Leonard%204%20AST)", "Ibaka 14' Jump Shot (19 PTS) (Leonard 4 AST)")</f>
        <v>Ibaka 14' Jump Shot (19 PTS) (Leonard 4 AST)</v>
      </c>
      <c r="L2119" s="2" t="str">
        <f>HYPERLINK("https://www.nba.com/game/...-vs-...-0021800580/play-by-play?watchFullGame=true", "TOR vs MIL - Q3 05:05.00")</f>
        <v>TOR vs MIL - Q3 05:05.00</v>
      </c>
      <c r="M2119">
        <v>14</v>
      </c>
      <c r="N2119">
        <v>106</v>
      </c>
      <c r="O2119">
        <v>87</v>
      </c>
      <c r="P2119">
        <v>106</v>
      </c>
      <c r="Q2119">
        <v>87</v>
      </c>
      <c r="R2119" t="s">
        <v>0</v>
      </c>
      <c r="S2119" t="s">
        <v>0</v>
      </c>
      <c r="T2119" t="s">
        <v>0</v>
      </c>
    </row>
    <row r="2120" spans="1:20" x14ac:dyDescent="0.25">
      <c r="A2120">
        <v>21800628</v>
      </c>
      <c r="B2120" t="s">
        <v>4</v>
      </c>
      <c r="C2120" t="s">
        <v>26</v>
      </c>
      <c r="D2120">
        <v>106</v>
      </c>
      <c r="E2120">
        <v>79</v>
      </c>
      <c r="F2120">
        <v>27</v>
      </c>
      <c r="G2120">
        <v>4</v>
      </c>
      <c r="H2120" s="1">
        <v>5.5208333333333333E-3</v>
      </c>
      <c r="I2120">
        <v>2018</v>
      </c>
      <c r="J2120" t="s">
        <v>12</v>
      </c>
      <c r="K2120" s="2" t="str">
        <f>HYPERLINK("https://www.nba.com/stats/events?CFID=&amp;CFPARAMS=&amp;GameEventID=507&amp;GameID=0021800628&amp;Season=2018-19&amp;flag=1&amp;title=Stauskas%203'%20Reverse%20Layup%20(8%20PTS)%20(Leonard%201%20AST)", "Stauskas 3' Reverse Layup (8 PTS) (Leonard 1 AST)")</f>
        <v>Stauskas 3' Reverse Layup (8 PTS) (Leonard 1 AST)</v>
      </c>
      <c r="L2120" s="2" t="str">
        <f>HYPERLINK("https://www.nba.com/game/...-vs-...-0021800628/play-by-play?watchFullGame=true", "POR vs CHA - Q4 07:57.00")</f>
        <v>POR vs CHA - Q4 07:57.00</v>
      </c>
      <c r="M2120">
        <v>3</v>
      </c>
      <c r="N2120">
        <v>25</v>
      </c>
      <c r="O2120">
        <v>-4</v>
      </c>
      <c r="P2120">
        <v>25</v>
      </c>
      <c r="Q2120">
        <v>-4</v>
      </c>
      <c r="R2120" t="s">
        <v>0</v>
      </c>
      <c r="S2120" t="s">
        <v>0</v>
      </c>
      <c r="T2120" t="s">
        <v>0</v>
      </c>
    </row>
    <row r="2121" spans="1:20" x14ac:dyDescent="0.25">
      <c r="A2121">
        <v>21800930</v>
      </c>
      <c r="B2121" t="s">
        <v>10</v>
      </c>
      <c r="C2121" t="s">
        <v>9</v>
      </c>
      <c r="D2121">
        <v>16</v>
      </c>
      <c r="E2121">
        <v>11</v>
      </c>
      <c r="F2121">
        <v>5</v>
      </c>
      <c r="G2121">
        <v>1</v>
      </c>
      <c r="H2121" s="1">
        <v>4.386574074074074E-3</v>
      </c>
      <c r="I2121">
        <v>2018</v>
      </c>
      <c r="J2121" t="s">
        <v>1</v>
      </c>
      <c r="K2121" s="2" t="str">
        <f>HYPERLINK("https://www.nba.com/stats/events?CFID=&amp;CFPARAMS=&amp;GameEventID=59&amp;GameID=0021800930&amp;Season=2018-19&amp;flag=1&amp;title=Siakam%203PT%20Jump%20Shot%20(3%20PTS)%20(Leonard%201%20AST)", "Siakam 3PT Jump Shot (3 PTS) (Leonard 1 AST)")</f>
        <v>Siakam 3PT Jump Shot (3 PTS) (Leonard 1 AST)</v>
      </c>
      <c r="L2121" s="2" t="str">
        <f>HYPERLINK("https://www.nba.com/game/...-vs-...-0021800930/play-by-play?watchFullGame=true", "TOR vs POR - Q1 06:19.00")</f>
        <v>TOR vs POR - Q1 06:19.00</v>
      </c>
      <c r="M2121">
        <v>0</v>
      </c>
      <c r="N2121">
        <v>-234</v>
      </c>
      <c r="O2121">
        <v>-6</v>
      </c>
      <c r="P2121">
        <v>-234</v>
      </c>
      <c r="Q2121">
        <v>-6</v>
      </c>
      <c r="R2121" t="s">
        <v>0</v>
      </c>
      <c r="S2121" t="s">
        <v>0</v>
      </c>
      <c r="T2121" t="s">
        <v>0</v>
      </c>
    </row>
    <row r="2122" spans="1:20" x14ac:dyDescent="0.25">
      <c r="A2122">
        <v>21801072</v>
      </c>
      <c r="B2122" t="s">
        <v>4</v>
      </c>
      <c r="C2122" t="s">
        <v>16</v>
      </c>
      <c r="D2122">
        <v>121</v>
      </c>
      <c r="E2122">
        <v>112</v>
      </c>
      <c r="F2122">
        <v>9</v>
      </c>
      <c r="G2122">
        <v>5</v>
      </c>
      <c r="H2122" s="1">
        <v>3.3796296296296298E-4</v>
      </c>
      <c r="I2122">
        <v>2018</v>
      </c>
      <c r="J2122" t="s">
        <v>1</v>
      </c>
      <c r="K2122" s="2" t="str">
        <f>HYPERLINK("https://www.nba.com/stats/events?CFID=&amp;CFPARAMS=&amp;GameEventID=713&amp;GameID=0021801072&amp;Season=2018-19&amp;flag=1&amp;title=Siakam%201'%20Running%20Dunk%20(33%20PTS)%20(Leonard%206%20AST)", "Siakam 1' Running Dunk (33 PTS) (Leonard 6 AST)")</f>
        <v>Siakam 1' Running Dunk (33 PTS) (Leonard 6 AST)</v>
      </c>
      <c r="L2122" s="2" t="str">
        <f>HYPERLINK("https://www.nba.com/game/...-vs-...-0021801072/play-by-play?watchFullGame=true", "TOR vs OKC - Q5 00:29.20")</f>
        <v>TOR vs OKC - Q5 00:29.20</v>
      </c>
      <c r="M2122">
        <v>1</v>
      </c>
      <c r="N2122">
        <v>-3</v>
      </c>
      <c r="O2122">
        <v>8</v>
      </c>
      <c r="P2122">
        <v>-3</v>
      </c>
      <c r="Q2122">
        <v>8</v>
      </c>
      <c r="R2122" t="s">
        <v>0</v>
      </c>
      <c r="S2122" t="s">
        <v>0</v>
      </c>
      <c r="T2122" t="s">
        <v>0</v>
      </c>
    </row>
    <row r="2123" spans="1:20" x14ac:dyDescent="0.25">
      <c r="A2123">
        <v>21801098</v>
      </c>
      <c r="B2123" t="s">
        <v>10</v>
      </c>
      <c r="C2123" t="s">
        <v>3</v>
      </c>
      <c r="D2123">
        <v>102</v>
      </c>
      <c r="E2123">
        <v>109</v>
      </c>
      <c r="F2123">
        <v>7</v>
      </c>
      <c r="G2123">
        <v>4</v>
      </c>
      <c r="H2123" s="1">
        <v>4.9305555555555552E-3</v>
      </c>
      <c r="I2123">
        <v>2018</v>
      </c>
      <c r="J2123" t="s">
        <v>1</v>
      </c>
      <c r="K2123" s="2" t="str">
        <f>HYPERLINK("https://www.nba.com/stats/events?CFID=&amp;CFPARAMS=&amp;GameEventID=542&amp;GameID=0021801098&amp;Season=2018-19&amp;flag=1&amp;title=VanVleet%203PT%20Running%20Jump%20Shot%20(12%20PTS)%20(Leonard%203%20AST)", "VanVleet 3PT Running Jump Shot (12 PTS) (Leonard 3 AST)")</f>
        <v>VanVleet 3PT Running Jump Shot (12 PTS) (Leonard 3 AST)</v>
      </c>
      <c r="L2123" s="2" t="str">
        <f>HYPERLINK("https://www.nba.com/game/...-vs-...-0021801098/play-by-play?watchFullGame=true", "TOR vs CHA - Q4 07:06.00")</f>
        <v>TOR vs CHA - Q4 07:06.00</v>
      </c>
      <c r="M2123">
        <v>0</v>
      </c>
      <c r="N2123">
        <v>-230</v>
      </c>
      <c r="O2123">
        <v>32</v>
      </c>
      <c r="P2123">
        <v>-230</v>
      </c>
      <c r="Q2123">
        <v>32</v>
      </c>
      <c r="R2123" t="s">
        <v>0</v>
      </c>
      <c r="S2123" t="s">
        <v>0</v>
      </c>
      <c r="T2123" t="s">
        <v>0</v>
      </c>
    </row>
    <row r="2124" spans="1:20" x14ac:dyDescent="0.25">
      <c r="A2124">
        <v>21801110</v>
      </c>
      <c r="B2124" t="s">
        <v>4</v>
      </c>
      <c r="C2124" t="s">
        <v>16</v>
      </c>
      <c r="D2124">
        <v>16</v>
      </c>
      <c r="E2124">
        <v>10</v>
      </c>
      <c r="F2124">
        <v>6</v>
      </c>
      <c r="G2124">
        <v>1</v>
      </c>
      <c r="H2124" s="1">
        <v>3.1944444444444446E-3</v>
      </c>
      <c r="I2124">
        <v>2018</v>
      </c>
      <c r="J2124" t="s">
        <v>1</v>
      </c>
      <c r="K2124" s="2" t="str">
        <f>HYPERLINK("https://www.nba.com/stats/events?CFID=&amp;CFPARAMS=&amp;GameEventID=82&amp;GameID=0021801110&amp;Season=2018-19&amp;flag=1&amp;title=Siakam%201'%20Running%20Dunk%20(6%20PTS)%20(Leonard%202%20AST)", "Siakam 1' Running Dunk (6 PTS) (Leonard 2 AST)")</f>
        <v>Siakam 1' Running Dunk (6 PTS) (Leonard 2 AST)</v>
      </c>
      <c r="L2124" s="2" t="str">
        <f>HYPERLINK("https://www.nba.com/game/...-vs-...-0021801110/play-by-play?watchFullGame=true", "TOR vs CHI - Q1 04:36.00")</f>
        <v>TOR vs CHI - Q1 04:36.00</v>
      </c>
      <c r="M2124">
        <v>1</v>
      </c>
      <c r="N2124">
        <v>-8</v>
      </c>
      <c r="O2124">
        <v>0</v>
      </c>
      <c r="P2124">
        <v>-8</v>
      </c>
      <c r="Q2124">
        <v>0</v>
      </c>
      <c r="R2124" t="s">
        <v>0</v>
      </c>
      <c r="S2124" t="s">
        <v>0</v>
      </c>
      <c r="T2124" t="s">
        <v>0</v>
      </c>
    </row>
    <row r="2125" spans="1:20" x14ac:dyDescent="0.25">
      <c r="A2125">
        <v>21600425</v>
      </c>
      <c r="B2125" t="s">
        <v>4</v>
      </c>
      <c r="C2125" t="s">
        <v>9</v>
      </c>
      <c r="D2125">
        <v>43</v>
      </c>
      <c r="E2125">
        <v>34</v>
      </c>
      <c r="F2125">
        <v>9</v>
      </c>
      <c r="G2125">
        <v>2</v>
      </c>
      <c r="H2125" s="1">
        <v>3.8425925925925928E-3</v>
      </c>
      <c r="I2125">
        <v>2016</v>
      </c>
      <c r="J2125" t="s">
        <v>7</v>
      </c>
      <c r="K2125" s="2" t="str">
        <f>HYPERLINK("https://www.nba.com/stats/events?CFID=&amp;CFPARAMS=&amp;GameEventID=200&amp;GameID=0021600425&amp;Season=2016-17&amp;flag=1&amp;title=Gasol%208'%20Jump%20Shot%20(6%20PTS)%20(Leonard%202%20AST)", "Gasol 8' Jump Shot (6 PTS) (Leonard 2 AST)")</f>
        <v>Gasol 8' Jump Shot (6 PTS) (Leonard 2 AST)</v>
      </c>
      <c r="L2125" s="2" t="str">
        <f>HYPERLINK("https://www.nba.com/game/...-vs-...-0021600425/play-by-play?watchFullGame=true", "SAS vs HOU - Q2 05:32.00")</f>
        <v>SAS vs HOU - Q2 05:32.00</v>
      </c>
      <c r="M2125">
        <v>8</v>
      </c>
      <c r="N2125">
        <v>82</v>
      </c>
      <c r="O2125">
        <v>2</v>
      </c>
      <c r="P2125">
        <v>82</v>
      </c>
      <c r="Q2125">
        <v>2</v>
      </c>
      <c r="R2125" t="s">
        <v>0</v>
      </c>
      <c r="S2125" t="s">
        <v>0</v>
      </c>
      <c r="T2125" t="s">
        <v>0</v>
      </c>
    </row>
    <row r="2126" spans="1:20" x14ac:dyDescent="0.25">
      <c r="A2126">
        <v>21600425</v>
      </c>
      <c r="B2126" t="s">
        <v>10</v>
      </c>
      <c r="C2126" t="s">
        <v>9</v>
      </c>
      <c r="D2126">
        <v>91</v>
      </c>
      <c r="E2126">
        <v>96</v>
      </c>
      <c r="F2126">
        <v>5</v>
      </c>
      <c r="G2126">
        <v>4</v>
      </c>
      <c r="H2126" s="1">
        <v>2.0833333333333333E-3</v>
      </c>
      <c r="I2126">
        <v>2016</v>
      </c>
      <c r="J2126" t="s">
        <v>7</v>
      </c>
      <c r="K2126" s="2" t="str">
        <f>HYPERLINK("https://www.nba.com/stats/events?CFID=&amp;CFPARAMS=&amp;GameEventID=512&amp;GameID=0021600425&amp;Season=2016-17&amp;flag=1&amp;title=Ginobili%2025'%203PT%20Jump%20Shot%20(12%20PTS)%20(Leonard%204%20AST)", "Ginobili 25' 3PT Jump Shot (12 PTS) (Leonard 4 AST)")</f>
        <v>Ginobili 25' 3PT Jump Shot (12 PTS) (Leonard 4 AST)</v>
      </c>
      <c r="L2126" s="2" t="str">
        <f>HYPERLINK("https://www.nba.com/game/...-vs-...-0021600425/play-by-play?watchFullGame=true", "SAS vs HOU - Q4 03:00.00")</f>
        <v>SAS vs HOU - Q4 03:00.00</v>
      </c>
      <c r="M2126">
        <v>25</v>
      </c>
      <c r="N2126">
        <v>-34</v>
      </c>
      <c r="O2126">
        <v>252</v>
      </c>
      <c r="P2126">
        <v>-34</v>
      </c>
      <c r="Q2126">
        <v>252</v>
      </c>
      <c r="R2126" t="s">
        <v>0</v>
      </c>
      <c r="S2126" t="s">
        <v>0</v>
      </c>
      <c r="T2126" t="s">
        <v>0</v>
      </c>
    </row>
    <row r="2127" spans="1:20" x14ac:dyDescent="0.25">
      <c r="A2127">
        <v>21600441</v>
      </c>
      <c r="B2127" t="s">
        <v>4</v>
      </c>
      <c r="C2127" t="s">
        <v>6</v>
      </c>
      <c r="D2127">
        <v>16</v>
      </c>
      <c r="E2127">
        <v>20</v>
      </c>
      <c r="F2127">
        <v>4</v>
      </c>
      <c r="G2127">
        <v>1</v>
      </c>
      <c r="H2127" s="1">
        <v>1.9097222222222222E-3</v>
      </c>
      <c r="I2127">
        <v>2016</v>
      </c>
      <c r="J2127" t="s">
        <v>7</v>
      </c>
      <c r="K2127" s="2" t="str">
        <f>HYPERLINK("https://www.nba.com/stats/events?CFID=&amp;CFPARAMS=&amp;GameEventID=104&amp;GameID=0021600441&amp;Season=2016-17&amp;flag=1&amp;title=Lee%20%20Cutting%20Dunk%20Shot%20(2%20PTS)%20(Leonard%202%20AST)", "Lee  Cutting Dunk Shot (2 PTS) (Leonard 2 AST)")</f>
        <v>Lee  Cutting Dunk Shot (2 PTS) (Leonard 2 AST)</v>
      </c>
      <c r="L2127" s="2" t="str">
        <f>HYPERLINK("https://www.nba.com/game/...-vs-...-0021600441/play-by-play?watchFullGame=true", "SAS vs LAC - Q1 02:45.00")</f>
        <v>SAS vs LAC - Q1 02:45.00</v>
      </c>
      <c r="M2127">
        <v>0</v>
      </c>
      <c r="N2127">
        <v>0</v>
      </c>
      <c r="O2127">
        <v>1</v>
      </c>
      <c r="P2127">
        <v>0</v>
      </c>
      <c r="Q2127">
        <v>1</v>
      </c>
      <c r="R2127" t="s">
        <v>0</v>
      </c>
      <c r="S2127" t="s">
        <v>0</v>
      </c>
      <c r="T2127" t="s">
        <v>0</v>
      </c>
    </row>
    <row r="2128" spans="1:20" x14ac:dyDescent="0.25">
      <c r="A2128">
        <v>21600543</v>
      </c>
      <c r="B2128" t="s">
        <v>4</v>
      </c>
      <c r="C2128" t="s">
        <v>17</v>
      </c>
      <c r="D2128">
        <v>112</v>
      </c>
      <c r="E2128">
        <v>92</v>
      </c>
      <c r="F2128">
        <v>20</v>
      </c>
      <c r="G2128">
        <v>4</v>
      </c>
      <c r="H2128" s="1">
        <v>3.3564814814814816E-3</v>
      </c>
      <c r="I2128">
        <v>2016</v>
      </c>
      <c r="J2128" t="s">
        <v>7</v>
      </c>
      <c r="K2128" s="2" t="str">
        <f>HYPERLINK("https://www.nba.com/stats/events?CFID=&amp;CFPARAMS=&amp;GameEventID=457&amp;GameID=0021600543&amp;Season=2016-17&amp;flag=1&amp;title=Murray%206'%20Floating%20Jump%20Shot%20(2%20PTS)%20(Leonard%205%20AST)", "Murray 6' Floating Jump Shot (2 PTS) (Leonard 5 AST)")</f>
        <v>Murray 6' Floating Jump Shot (2 PTS) (Leonard 5 AST)</v>
      </c>
      <c r="L2128" s="2" t="str">
        <f>HYPERLINK("https://www.nba.com/game/...-vs-...-0021600543/play-by-play?watchFullGame=true", "SAS vs DEN - Q4 04:50.00")</f>
        <v>SAS vs DEN - Q4 04:50.00</v>
      </c>
      <c r="M2128">
        <v>6</v>
      </c>
      <c r="N2128">
        <v>38</v>
      </c>
      <c r="O2128">
        <v>41</v>
      </c>
      <c r="P2128">
        <v>38</v>
      </c>
      <c r="Q2128">
        <v>41</v>
      </c>
      <c r="R2128" t="s">
        <v>0</v>
      </c>
      <c r="S2128" t="s">
        <v>0</v>
      </c>
      <c r="T2128" t="s">
        <v>0</v>
      </c>
    </row>
    <row r="2129" spans="1:20" x14ac:dyDescent="0.25">
      <c r="A2129">
        <v>21600588</v>
      </c>
      <c r="B2129" t="s">
        <v>4</v>
      </c>
      <c r="C2129" t="s">
        <v>19</v>
      </c>
      <c r="D2129">
        <v>58</v>
      </c>
      <c r="E2129">
        <v>47</v>
      </c>
      <c r="F2129">
        <v>11</v>
      </c>
      <c r="G2129">
        <v>2</v>
      </c>
      <c r="H2129" s="1">
        <v>2.3842592592592591E-3</v>
      </c>
      <c r="I2129">
        <v>2016</v>
      </c>
      <c r="J2129" t="s">
        <v>7</v>
      </c>
      <c r="K2129" s="2" t="str">
        <f>HYPERLINK("https://www.nba.com/stats/events?CFID=&amp;CFPARAMS=&amp;GameEventID=231&amp;GameID=0021600588&amp;Season=2016-17&amp;flag=1&amp;title=Parker%2015'%20Pullup%20Jump%20Shot%20(12%20PTS)%20(Leonard%201%20AST)", "Parker 15' Pullup Jump Shot (12 PTS) (Leonard 1 AST)")</f>
        <v>Parker 15' Pullup Jump Shot (12 PTS) (Leonard 1 AST)</v>
      </c>
      <c r="L2129" s="2" t="str">
        <f>HYPERLINK("https://www.nba.com/game/...-vs-...-0021600588/play-by-play?watchFullGame=true", "SAS vs LAL - Q2 03:26.00")</f>
        <v>SAS vs LAL - Q2 03:26.00</v>
      </c>
      <c r="M2129">
        <v>15</v>
      </c>
      <c r="N2129">
        <v>119</v>
      </c>
      <c r="O2129">
        <v>95</v>
      </c>
      <c r="P2129">
        <v>119</v>
      </c>
      <c r="Q2129">
        <v>95</v>
      </c>
      <c r="R2129" t="s">
        <v>0</v>
      </c>
      <c r="S2129" t="s">
        <v>0</v>
      </c>
      <c r="T2129" t="s">
        <v>0</v>
      </c>
    </row>
    <row r="2130" spans="1:20" x14ac:dyDescent="0.25">
      <c r="A2130">
        <v>21600598</v>
      </c>
      <c r="B2130" t="s">
        <v>10</v>
      </c>
      <c r="C2130" t="s">
        <v>9</v>
      </c>
      <c r="D2130">
        <v>88</v>
      </c>
      <c r="E2130">
        <v>90</v>
      </c>
      <c r="F2130">
        <v>2</v>
      </c>
      <c r="G2130">
        <v>4</v>
      </c>
      <c r="H2130" s="1">
        <v>6.3194444444444444E-3</v>
      </c>
      <c r="I2130">
        <v>2016</v>
      </c>
      <c r="J2130" t="s">
        <v>12</v>
      </c>
      <c r="K2130" s="2" t="str">
        <f>HYPERLINK("https://www.nba.com/stats/events?CFID=&amp;CFPARAMS=&amp;GameEventID=445&amp;GameID=0021600598&amp;Season=2016-17&amp;flag=1&amp;title=McCollum%2027'%203PT%20Jump%20Shot%20(20%20PTS)%20(Leonard%202%20AST)", "McCollum 27' 3PT Jump Shot (20 PTS) (Leonard 2 AST)")</f>
        <v>McCollum 27' 3PT Jump Shot (20 PTS) (Leonard 2 AST)</v>
      </c>
      <c r="L2130" s="2" t="str">
        <f>HYPERLINK("https://www.nba.com/game/...-vs-...-0021600598/play-by-play?watchFullGame=true", "POR vs ORL - Q4 09:06.00")</f>
        <v>POR vs ORL - Q4 09:06.00</v>
      </c>
      <c r="M2130">
        <v>27</v>
      </c>
      <c r="N2130">
        <v>138</v>
      </c>
      <c r="O2130">
        <v>228</v>
      </c>
      <c r="P2130">
        <v>138</v>
      </c>
      <c r="Q2130">
        <v>228</v>
      </c>
      <c r="R2130" t="s">
        <v>0</v>
      </c>
      <c r="S2130" t="s">
        <v>0</v>
      </c>
      <c r="T2130" t="s">
        <v>0</v>
      </c>
    </row>
    <row r="2131" spans="1:20" x14ac:dyDescent="0.25">
      <c r="A2131">
        <v>21600744</v>
      </c>
      <c r="B2131" t="s">
        <v>10</v>
      </c>
      <c r="C2131" t="s">
        <v>9</v>
      </c>
      <c r="D2131">
        <v>8</v>
      </c>
      <c r="E2131">
        <v>4</v>
      </c>
      <c r="F2131">
        <v>4</v>
      </c>
      <c r="G2131">
        <v>1</v>
      </c>
      <c r="H2131" s="1">
        <v>5.8680555555555552E-3</v>
      </c>
      <c r="I2131">
        <v>2016</v>
      </c>
      <c r="J2131" t="s">
        <v>7</v>
      </c>
      <c r="K2131" s="2" t="str">
        <f>HYPERLINK("https://www.nba.com/stats/events?CFID=&amp;CFPARAMS=&amp;GameEventID=39&amp;GameID=0021600744&amp;Season=2016-17&amp;flag=1&amp;title=Bertans%2025'%203PT%20Jump%20Shot%20(3%20PTS)%20(Leonard%201%20AST)", "Bertans 25' 3PT Jump Shot (3 PTS) (Leonard 1 AST)")</f>
        <v>Bertans 25' 3PT Jump Shot (3 PTS) (Leonard 1 AST)</v>
      </c>
      <c r="L2131" s="2" t="str">
        <f>HYPERLINK("https://www.nba.com/game/...-vs-...-0021600744/play-by-play?watchFullGame=true", "SAS vs PHI - Q1 08:27.00")</f>
        <v>SAS vs PHI - Q1 08:27.00</v>
      </c>
      <c r="M2131">
        <v>25</v>
      </c>
      <c r="N2131">
        <v>-153</v>
      </c>
      <c r="O2131">
        <v>203</v>
      </c>
      <c r="P2131">
        <v>-153</v>
      </c>
      <c r="Q2131">
        <v>203</v>
      </c>
      <c r="R2131" t="s">
        <v>0</v>
      </c>
      <c r="S2131" t="s">
        <v>0</v>
      </c>
      <c r="T2131" t="s">
        <v>0</v>
      </c>
    </row>
    <row r="2132" spans="1:20" x14ac:dyDescent="0.25">
      <c r="A2132">
        <v>21600798</v>
      </c>
      <c r="B2132" t="s">
        <v>10</v>
      </c>
      <c r="C2132" t="s">
        <v>9</v>
      </c>
      <c r="D2132">
        <v>107</v>
      </c>
      <c r="E2132">
        <v>114</v>
      </c>
      <c r="F2132">
        <v>7</v>
      </c>
      <c r="G2132">
        <v>4</v>
      </c>
      <c r="H2132" s="1">
        <v>5.5671296296296296E-4</v>
      </c>
      <c r="I2132">
        <v>2016</v>
      </c>
      <c r="J2132" t="s">
        <v>12</v>
      </c>
      <c r="K2132" s="2" t="str">
        <f>HYPERLINK("https://www.nba.com/stats/events?CFID=&amp;CFPARAMS=&amp;GameEventID=546&amp;GameID=0021600798&amp;Season=2016-17&amp;flag=1&amp;title=Crabbe%2025'%203PT%20Jump%20Shot%20(12%20PTS)%20(Leonard%201%20AST)", "Crabbe 25' 3PT Jump Shot (12 PTS) (Leonard 1 AST)")</f>
        <v>Crabbe 25' 3PT Jump Shot (12 PTS) (Leonard 1 AST)</v>
      </c>
      <c r="L2132" s="2" t="str">
        <f>HYPERLINK("https://www.nba.com/game/...-vs-...-0021600798/play-by-play?watchFullGame=true", "POR vs BOS - Q4 00:48.10")</f>
        <v>POR vs BOS - Q4 00:48.10</v>
      </c>
      <c r="M2132">
        <v>25</v>
      </c>
      <c r="N2132">
        <v>-223</v>
      </c>
      <c r="O2132">
        <v>121</v>
      </c>
      <c r="P2132">
        <v>-223</v>
      </c>
      <c r="Q2132">
        <v>121</v>
      </c>
      <c r="R2132" t="s">
        <v>0</v>
      </c>
      <c r="S2132" t="s">
        <v>0</v>
      </c>
      <c r="T2132" t="s">
        <v>0</v>
      </c>
    </row>
    <row r="2133" spans="1:20" x14ac:dyDescent="0.25">
      <c r="A2133">
        <v>21600225</v>
      </c>
      <c r="B2133" t="s">
        <v>10</v>
      </c>
      <c r="C2133" t="s">
        <v>9</v>
      </c>
      <c r="D2133">
        <v>86</v>
      </c>
      <c r="E2133">
        <v>81</v>
      </c>
      <c r="F2133">
        <v>5</v>
      </c>
      <c r="G2133">
        <v>4</v>
      </c>
      <c r="H2133" s="1">
        <v>5.8217592592592592E-3</v>
      </c>
      <c r="I2133">
        <v>2016</v>
      </c>
      <c r="J2133" t="s">
        <v>7</v>
      </c>
      <c r="K2133" s="2" t="str">
        <f>HYPERLINK("https://www.nba.com/stats/events?CFID=&amp;CFPARAMS=&amp;GameEventID=405&amp;GameID=0021600225&amp;Season=2016-17&amp;flag=1&amp;title=Green%2027'%203PT%20Jump%20Shot%20(11%20PTS)%20(Leonard%203%20AST)", "Green 27' 3PT Jump Shot (11 PTS) (Leonard 3 AST)")</f>
        <v>Green 27' 3PT Jump Shot (11 PTS) (Leonard 3 AST)</v>
      </c>
      <c r="L2133" s="2" t="str">
        <f>HYPERLINK("https://www.nba.com/game/...-vs-...-0021600225/play-by-play?watchFullGame=true", "SAS vs BOS - Q4 08:23.00")</f>
        <v>SAS vs BOS - Q4 08:23.00</v>
      </c>
      <c r="M2133">
        <v>27</v>
      </c>
      <c r="N2133">
        <v>151</v>
      </c>
      <c r="O2133">
        <v>218</v>
      </c>
      <c r="P2133">
        <v>151</v>
      </c>
      <c r="Q2133">
        <v>218</v>
      </c>
      <c r="R2133" t="s">
        <v>0</v>
      </c>
      <c r="S2133" t="s">
        <v>0</v>
      </c>
      <c r="T2133" t="s">
        <v>0</v>
      </c>
    </row>
    <row r="2134" spans="1:20" x14ac:dyDescent="0.25">
      <c r="A2134">
        <v>21600251</v>
      </c>
      <c r="B2134" t="s">
        <v>10</v>
      </c>
      <c r="C2134" t="s">
        <v>9</v>
      </c>
      <c r="D2134">
        <v>47</v>
      </c>
      <c r="E2134">
        <v>46</v>
      </c>
      <c r="F2134">
        <v>1</v>
      </c>
      <c r="G2134">
        <v>2</v>
      </c>
      <c r="H2134" s="1">
        <v>4.9421296296296297E-3</v>
      </c>
      <c r="I2134">
        <v>2016</v>
      </c>
      <c r="J2134" t="s">
        <v>12</v>
      </c>
      <c r="K2134" s="2" t="str">
        <f>HYPERLINK("https://www.nba.com/stats/events?CFID=&amp;CFPARAMS=&amp;GameEventID=157&amp;GameID=0021600251&amp;Season=2016-17&amp;flag=1&amp;title=McCollum%2024'%203PT%20Jump%20Shot%20(17%20PTS)%20(Leonard%201%20AST)", "McCollum 24' 3PT Jump Shot (17 PTS) (Leonard 1 AST)")</f>
        <v>McCollum 24' 3PT Jump Shot (17 PTS) (Leonard 1 AST)</v>
      </c>
      <c r="L2134" s="2" t="str">
        <f>HYPERLINK("https://www.nba.com/game/...-vs-...-0021600251/play-by-play?watchFullGame=true", "POR vs HOU - Q2 07:07.00")</f>
        <v>POR vs HOU - Q2 07:07.00</v>
      </c>
      <c r="M2134">
        <v>24</v>
      </c>
      <c r="N2134">
        <v>218</v>
      </c>
      <c r="O2134">
        <v>100</v>
      </c>
      <c r="P2134">
        <v>218</v>
      </c>
      <c r="Q2134">
        <v>100</v>
      </c>
      <c r="R2134" t="s">
        <v>0</v>
      </c>
      <c r="S2134" t="s">
        <v>0</v>
      </c>
      <c r="T2134" t="s">
        <v>0</v>
      </c>
    </row>
    <row r="2135" spans="1:20" x14ac:dyDescent="0.25">
      <c r="A2135">
        <v>21600319</v>
      </c>
      <c r="B2135" t="s">
        <v>10</v>
      </c>
      <c r="C2135" t="s">
        <v>9</v>
      </c>
      <c r="D2135">
        <v>17</v>
      </c>
      <c r="E2135">
        <v>18</v>
      </c>
      <c r="F2135">
        <v>1</v>
      </c>
      <c r="G2135">
        <v>1</v>
      </c>
      <c r="H2135" s="1">
        <v>1.4583333333333334E-3</v>
      </c>
      <c r="I2135">
        <v>2016</v>
      </c>
      <c r="J2135" t="s">
        <v>7</v>
      </c>
      <c r="K2135" s="2" t="str">
        <f>HYPERLINK("https://www.nba.com/stats/events?CFID=&amp;CFPARAMS=&amp;GameEventID=101&amp;GameID=0021600319&amp;Season=2016-17&amp;flag=1&amp;title=Mills%2025'%203PT%20Jump%20Shot%20(6%20PTS)%20(Leonard%201%20AST)", "Mills 25' 3PT Jump Shot (6 PTS) (Leonard 1 AST)")</f>
        <v>Mills 25' 3PT Jump Shot (6 PTS) (Leonard 1 AST)</v>
      </c>
      <c r="L2135" s="2" t="str">
        <f>HYPERLINK("https://www.nba.com/game/...-vs-...-0021600319/play-by-play?watchFullGame=true", "SAS vs MIN - Q1 02:06.00")</f>
        <v>SAS vs MIN - Q1 02:06.00</v>
      </c>
      <c r="M2135">
        <v>25</v>
      </c>
      <c r="N2135">
        <v>155</v>
      </c>
      <c r="O2135">
        <v>190</v>
      </c>
      <c r="P2135">
        <v>155</v>
      </c>
      <c r="Q2135">
        <v>190</v>
      </c>
      <c r="R2135" t="s">
        <v>0</v>
      </c>
      <c r="S2135" t="s">
        <v>0</v>
      </c>
      <c r="T2135" t="s">
        <v>0</v>
      </c>
    </row>
    <row r="2136" spans="1:20" x14ac:dyDescent="0.25">
      <c r="A2136">
        <v>21600336</v>
      </c>
      <c r="B2136" t="s">
        <v>10</v>
      </c>
      <c r="C2136" t="s">
        <v>9</v>
      </c>
      <c r="D2136">
        <v>81</v>
      </c>
      <c r="E2136">
        <v>86</v>
      </c>
      <c r="F2136">
        <v>5</v>
      </c>
      <c r="G2136">
        <v>4</v>
      </c>
      <c r="H2136" s="1">
        <v>2.8240740740740739E-3</v>
      </c>
      <c r="I2136">
        <v>2016</v>
      </c>
      <c r="J2136" t="s">
        <v>7</v>
      </c>
      <c r="K2136" s="2" t="str">
        <f>HYPERLINK("https://www.nba.com/stats/events?CFID=&amp;CFPARAMS=&amp;GameEventID=486&amp;GameID=0021600336&amp;Season=2016-17&amp;flag=1&amp;title=Green%2026'%203PT%20Jump%20Shot%20(6%20PTS)%20(Leonard%204%20AST)", "Green 26' 3PT Jump Shot (6 PTS) (Leonard 4 AST)")</f>
        <v>Green 26' 3PT Jump Shot (6 PTS) (Leonard 4 AST)</v>
      </c>
      <c r="L2136" s="2" t="str">
        <f>HYPERLINK("https://www.nba.com/game/...-vs-...-0021600336/play-by-play?watchFullGame=true", "SAS vs CHI - Q4 04:04.00")</f>
        <v>SAS vs CHI - Q4 04:04.00</v>
      </c>
      <c r="M2136">
        <v>26</v>
      </c>
      <c r="N2136">
        <v>223</v>
      </c>
      <c r="O2136">
        <v>139</v>
      </c>
      <c r="P2136">
        <v>223</v>
      </c>
      <c r="Q2136">
        <v>139</v>
      </c>
      <c r="R2136" t="s">
        <v>0</v>
      </c>
      <c r="S2136" t="s">
        <v>0</v>
      </c>
      <c r="T2136" t="s">
        <v>0</v>
      </c>
    </row>
    <row r="2137" spans="1:20" x14ac:dyDescent="0.25">
      <c r="A2137">
        <v>21600428</v>
      </c>
      <c r="B2137" t="s">
        <v>4</v>
      </c>
      <c r="C2137" t="s">
        <v>9</v>
      </c>
      <c r="D2137">
        <v>30</v>
      </c>
      <c r="E2137">
        <v>20</v>
      </c>
      <c r="F2137">
        <v>10</v>
      </c>
      <c r="G2137">
        <v>1</v>
      </c>
      <c r="H2137" s="1">
        <v>1.4699074074074074E-3</v>
      </c>
      <c r="I2137">
        <v>2016</v>
      </c>
      <c r="J2137" t="s">
        <v>12</v>
      </c>
      <c r="K2137" s="2" t="str">
        <f>HYPERLINK("https://www.nba.com/stats/events?CFID=&amp;CFPARAMS=&amp;GameEventID=96&amp;GameID=0021600428&amp;Season=2016-17&amp;flag=1&amp;title=Crabbe%2022'%20Jump%20Shot%20(4%20PTS)%20(Leonard%202%20AST)", "Crabbe 22' Jump Shot (4 PTS) (Leonard 2 AST)")</f>
        <v>Crabbe 22' Jump Shot (4 PTS) (Leonard 2 AST)</v>
      </c>
      <c r="L2137" s="2" t="str">
        <f>HYPERLINK("https://www.nba.com/game/...-vs-...-0021600428/play-by-play?watchFullGame=true", "POR vs SAC - Q1 02:07.00")</f>
        <v>POR vs SAC - Q1 02:07.00</v>
      </c>
      <c r="M2137">
        <v>22</v>
      </c>
      <c r="N2137">
        <v>69</v>
      </c>
      <c r="O2137">
        <v>208</v>
      </c>
      <c r="P2137">
        <v>69</v>
      </c>
      <c r="Q2137">
        <v>208</v>
      </c>
      <c r="R2137" t="s">
        <v>0</v>
      </c>
      <c r="S2137" t="s">
        <v>0</v>
      </c>
      <c r="T2137" t="s">
        <v>0</v>
      </c>
    </row>
    <row r="2138" spans="1:20" x14ac:dyDescent="0.25">
      <c r="A2138">
        <v>21600543</v>
      </c>
      <c r="B2138" t="s">
        <v>10</v>
      </c>
      <c r="C2138" t="s">
        <v>9</v>
      </c>
      <c r="D2138">
        <v>103</v>
      </c>
      <c r="E2138">
        <v>86</v>
      </c>
      <c r="F2138">
        <v>17</v>
      </c>
      <c r="G2138">
        <v>4</v>
      </c>
      <c r="H2138" s="1">
        <v>5.2199074074074075E-3</v>
      </c>
      <c r="I2138">
        <v>2016</v>
      </c>
      <c r="J2138" t="s">
        <v>7</v>
      </c>
      <c r="K2138" s="2" t="str">
        <f>HYPERLINK("https://www.nba.com/stats/events?CFID=&amp;CFPARAMS=&amp;GameEventID=417&amp;GameID=0021600543&amp;Season=2016-17&amp;flag=1&amp;title=Gasol%2024'%203PT%20Jump%20Shot%20(14%20PTS)%20(Leonard%204%20AST)", "Gasol 24' 3PT Jump Shot (14 PTS) (Leonard 4 AST)")</f>
        <v>Gasol 24' 3PT Jump Shot (14 PTS) (Leonard 4 AST)</v>
      </c>
      <c r="L2138" s="2" t="str">
        <f>HYPERLINK("https://www.nba.com/game/...-vs-...-0021600543/play-by-play?watchFullGame=true", "SAS vs DEN - Q4 07:31.00")</f>
        <v>SAS vs DEN - Q4 07:31.00</v>
      </c>
      <c r="M2138">
        <v>24</v>
      </c>
      <c r="N2138">
        <v>-238</v>
      </c>
      <c r="O2138">
        <v>11</v>
      </c>
      <c r="P2138">
        <v>-238</v>
      </c>
      <c r="Q2138">
        <v>11</v>
      </c>
      <c r="R2138" t="s">
        <v>0</v>
      </c>
      <c r="S2138" t="s">
        <v>0</v>
      </c>
      <c r="T2138" t="s">
        <v>0</v>
      </c>
    </row>
    <row r="2139" spans="1:20" x14ac:dyDescent="0.25">
      <c r="A2139">
        <v>21600575</v>
      </c>
      <c r="B2139" t="s">
        <v>10</v>
      </c>
      <c r="C2139" t="s">
        <v>9</v>
      </c>
      <c r="D2139">
        <v>46</v>
      </c>
      <c r="E2139">
        <v>36</v>
      </c>
      <c r="F2139">
        <v>10</v>
      </c>
      <c r="G2139">
        <v>2</v>
      </c>
      <c r="H2139" s="1">
        <v>3.5416666666666665E-3</v>
      </c>
      <c r="I2139">
        <v>2016</v>
      </c>
      <c r="J2139" t="s">
        <v>7</v>
      </c>
      <c r="K2139" s="2" t="str">
        <f>HYPERLINK("https://www.nba.com/stats/events?CFID=&amp;CFPARAMS=&amp;GameEventID=194&amp;GameID=0021600575&amp;Season=2016-17&amp;flag=1&amp;title=Green%2025'%203PT%20Jump%20Shot%20(8%20PTS)%20(Leonard%201%20AST)", "Green 25' 3PT Jump Shot (8 PTS) (Leonard 1 AST)")</f>
        <v>Green 25' 3PT Jump Shot (8 PTS) (Leonard 1 AST)</v>
      </c>
      <c r="L2139" s="2" t="str">
        <f>HYPERLINK("https://www.nba.com/game/...-vs-...-0021600575/play-by-play?watchFullGame=true", "SAS vs MIL - Q2 05:06.00")</f>
        <v>SAS vs MIL - Q2 05:06.00</v>
      </c>
      <c r="M2139">
        <v>25</v>
      </c>
      <c r="N2139">
        <v>63</v>
      </c>
      <c r="O2139">
        <v>237</v>
      </c>
      <c r="P2139">
        <v>63</v>
      </c>
      <c r="Q2139">
        <v>237</v>
      </c>
      <c r="R2139" t="s">
        <v>0</v>
      </c>
      <c r="S2139" t="s">
        <v>0</v>
      </c>
      <c r="T2139" t="s">
        <v>0</v>
      </c>
    </row>
    <row r="2140" spans="1:20" x14ac:dyDescent="0.25">
      <c r="A2140">
        <v>21600605</v>
      </c>
      <c r="B2140" t="s">
        <v>4</v>
      </c>
      <c r="C2140" t="s">
        <v>9</v>
      </c>
      <c r="D2140">
        <v>4</v>
      </c>
      <c r="E2140">
        <v>5</v>
      </c>
      <c r="F2140">
        <v>1</v>
      </c>
      <c r="G2140">
        <v>1</v>
      </c>
      <c r="H2140" s="1">
        <v>7.3148148148148148E-3</v>
      </c>
      <c r="I2140">
        <v>2016</v>
      </c>
      <c r="J2140" t="s">
        <v>7</v>
      </c>
      <c r="K2140" s="2" t="str">
        <f>HYPERLINK("https://www.nba.com/stats/events?CFID=&amp;CFPARAMS=&amp;GameEventID=10&amp;GameID=0021600605&amp;Season=2016-17&amp;flag=1&amp;title=Aldridge%2017'%20Jump%20Shot%20(4%20PTS)%20(Leonard%201%20AST)", "Aldridge 17' Jump Shot (4 PTS) (Leonard 1 AST)")</f>
        <v>Aldridge 17' Jump Shot (4 PTS) (Leonard 1 AST)</v>
      </c>
      <c r="L2140" s="2" t="str">
        <f>HYPERLINK("https://www.nba.com/game/...-vs-...-0021600605/play-by-play?watchFullGame=true", "SAS vs PHX - Q1 10:32.00")</f>
        <v>SAS vs PHX - Q1 10:32.00</v>
      </c>
      <c r="M2140">
        <v>17</v>
      </c>
      <c r="N2140">
        <v>146</v>
      </c>
      <c r="O2140">
        <v>80</v>
      </c>
      <c r="P2140">
        <v>146</v>
      </c>
      <c r="Q2140">
        <v>80</v>
      </c>
      <c r="R2140" t="s">
        <v>0</v>
      </c>
      <c r="S2140" t="s">
        <v>0</v>
      </c>
      <c r="T2140" t="s">
        <v>0</v>
      </c>
    </row>
    <row r="2141" spans="1:20" x14ac:dyDescent="0.25">
      <c r="A2141">
        <v>21600182</v>
      </c>
      <c r="B2141" t="s">
        <v>10</v>
      </c>
      <c r="C2141" t="s">
        <v>3</v>
      </c>
      <c r="D2141">
        <v>7</v>
      </c>
      <c r="E2141">
        <v>0</v>
      </c>
      <c r="F2141">
        <v>7</v>
      </c>
      <c r="G2141">
        <v>1</v>
      </c>
      <c r="H2141" s="1">
        <v>6.2384259259259259E-3</v>
      </c>
      <c r="I2141">
        <v>2016</v>
      </c>
      <c r="J2141" t="s">
        <v>7</v>
      </c>
      <c r="K2141" s="2" t="str">
        <f>HYPERLINK("https://www.nba.com/stats/events?CFID=&amp;CFPARAMS=&amp;GameEventID=27&amp;GameID=0021600182&amp;Season=2016-17&amp;flag=1&amp;title=Green%2025'%203PT%20Running%20Jump%20Shot%20(3%20PTS)%20(Leonard%201%20AST)", "Green 25' 3PT Running Jump Shot (3 PTS) (Leonard 1 AST)")</f>
        <v>Green 25' 3PT Running Jump Shot (3 PTS) (Leonard 1 AST)</v>
      </c>
      <c r="L2141" s="2" t="str">
        <f>HYPERLINK("https://www.nba.com/game/...-vs-...-0021600182/play-by-play?watchFullGame=true", "SAS vs LAL - Q1 08:59.00")</f>
        <v>SAS vs LAL - Q1 08:59.00</v>
      </c>
      <c r="M2141">
        <v>25</v>
      </c>
      <c r="N2141">
        <v>-140</v>
      </c>
      <c r="O2141">
        <v>204</v>
      </c>
      <c r="P2141">
        <v>-140</v>
      </c>
      <c r="Q2141">
        <v>204</v>
      </c>
      <c r="R2141" t="s">
        <v>0</v>
      </c>
      <c r="S2141" t="s">
        <v>0</v>
      </c>
      <c r="T2141" t="s">
        <v>0</v>
      </c>
    </row>
    <row r="2142" spans="1:20" x14ac:dyDescent="0.25">
      <c r="A2142">
        <v>21600441</v>
      </c>
      <c r="B2142" t="s">
        <v>4</v>
      </c>
      <c r="C2142" t="s">
        <v>9</v>
      </c>
      <c r="D2142">
        <v>10</v>
      </c>
      <c r="E2142">
        <v>10</v>
      </c>
      <c r="F2142">
        <v>0</v>
      </c>
      <c r="G2142">
        <v>1</v>
      </c>
      <c r="H2142" s="1">
        <v>5.4398148148148149E-3</v>
      </c>
      <c r="I2142">
        <v>2016</v>
      </c>
      <c r="J2142" t="s">
        <v>7</v>
      </c>
      <c r="K2142" s="2" t="str">
        <f>HYPERLINK("https://www.nba.com/stats/events?CFID=&amp;CFPARAMS=&amp;GameEventID=40&amp;GameID=0021600441&amp;Season=2016-17&amp;flag=1&amp;title=Aldridge%2019'%20Jump%20Shot%20(4%20PTS)%20(Leonard%201%20AST)", "Aldridge 19' Jump Shot (4 PTS) (Leonard 1 AST)")</f>
        <v>Aldridge 19' Jump Shot (4 PTS) (Leonard 1 AST)</v>
      </c>
      <c r="L2142" s="2" t="str">
        <f>HYPERLINK("https://www.nba.com/game/...-vs-...-0021600441/play-by-play?watchFullGame=true", "SAS vs LAC - Q1 07:50.00")</f>
        <v>SAS vs LAC - Q1 07:50.00</v>
      </c>
      <c r="M2142">
        <v>19</v>
      </c>
      <c r="N2142">
        <v>-187</v>
      </c>
      <c r="O2142">
        <v>46</v>
      </c>
      <c r="P2142">
        <v>-187</v>
      </c>
      <c r="Q2142">
        <v>46</v>
      </c>
      <c r="R2142" t="s">
        <v>0</v>
      </c>
      <c r="S2142" t="s">
        <v>0</v>
      </c>
      <c r="T2142" t="s">
        <v>0</v>
      </c>
    </row>
    <row r="2143" spans="1:20" x14ac:dyDescent="0.25">
      <c r="A2143">
        <v>21600441</v>
      </c>
      <c r="B2143" t="s">
        <v>10</v>
      </c>
      <c r="C2143" t="s">
        <v>9</v>
      </c>
      <c r="D2143">
        <v>41</v>
      </c>
      <c r="E2143">
        <v>52</v>
      </c>
      <c r="F2143">
        <v>11</v>
      </c>
      <c r="G2143">
        <v>2</v>
      </c>
      <c r="H2143" s="1">
        <v>6.180555555555555E-4</v>
      </c>
      <c r="I2143">
        <v>2016</v>
      </c>
      <c r="J2143" t="s">
        <v>7</v>
      </c>
      <c r="K2143" s="2" t="str">
        <f>HYPERLINK("https://www.nba.com/stats/events?CFID=&amp;CFPARAMS=&amp;GameEventID=269&amp;GameID=0021600441&amp;Season=2016-17&amp;flag=1&amp;title=Mills%20%203PT%20Jump%20Shot%20(3%20PTS)%20(Leonard%204%20AST)", "Mills  3PT Jump Shot (3 PTS) (Leonard 4 AST)")</f>
        <v>Mills  3PT Jump Shot (3 PTS) (Leonard 4 AST)</v>
      </c>
      <c r="L2143" s="2" t="str">
        <f>HYPERLINK("https://www.nba.com/game/...-vs-...-0021600441/play-by-play?watchFullGame=true", "SAS vs LAC - Q2 00:53.40")</f>
        <v>SAS vs LAC - Q2 00:53.40</v>
      </c>
      <c r="M2143">
        <v>0</v>
      </c>
      <c r="N2143">
        <v>-228</v>
      </c>
      <c r="O2143">
        <v>0</v>
      </c>
      <c r="P2143">
        <v>-228</v>
      </c>
      <c r="Q2143">
        <v>0</v>
      </c>
      <c r="R2143" t="s">
        <v>0</v>
      </c>
      <c r="S2143" t="s">
        <v>0</v>
      </c>
      <c r="T2143" t="s">
        <v>0</v>
      </c>
    </row>
    <row r="2144" spans="1:20" x14ac:dyDescent="0.25">
      <c r="A2144">
        <v>21600508</v>
      </c>
      <c r="B2144" t="s">
        <v>4</v>
      </c>
      <c r="C2144" t="s">
        <v>9</v>
      </c>
      <c r="D2144">
        <v>106</v>
      </c>
      <c r="E2144">
        <v>110</v>
      </c>
      <c r="F2144">
        <v>4</v>
      </c>
      <c r="G2144">
        <v>5</v>
      </c>
      <c r="H2144" s="1">
        <v>1.6319444444444445E-3</v>
      </c>
      <c r="I2144">
        <v>2016</v>
      </c>
      <c r="J2144" t="s">
        <v>7</v>
      </c>
      <c r="K2144" s="2" t="str">
        <f>HYPERLINK("https://www.nba.com/stats/events?CFID=&amp;CFPARAMS=&amp;GameEventID=570&amp;GameID=0021600508&amp;Season=2016-17&amp;flag=1&amp;title=Gasol%2016'%20Jump%20Shot%20(17%20PTS)%20(Leonard%202%20AST)", "Gasol 16' Jump Shot (17 PTS) (Leonard 2 AST)")</f>
        <v>Gasol 16' Jump Shot (17 PTS) (Leonard 2 AST)</v>
      </c>
      <c r="L2144" s="2" t="str">
        <f>HYPERLINK("https://www.nba.com/game/...-vs-...-0021600508/play-by-play?watchFullGame=true", "SAS vs ATL - Q5 02:21.00")</f>
        <v>SAS vs ATL - Q5 02:21.00</v>
      </c>
      <c r="M2144">
        <v>16</v>
      </c>
      <c r="N2144">
        <v>37</v>
      </c>
      <c r="O2144">
        <v>159</v>
      </c>
      <c r="P2144">
        <v>37</v>
      </c>
      <c r="Q2144">
        <v>159</v>
      </c>
      <c r="R2144" t="s">
        <v>0</v>
      </c>
      <c r="S2144" t="s">
        <v>0</v>
      </c>
      <c r="T2144" t="s">
        <v>0</v>
      </c>
    </row>
    <row r="2145" spans="1:20" x14ac:dyDescent="0.25">
      <c r="A2145">
        <v>21600701</v>
      </c>
      <c r="B2145" t="s">
        <v>10</v>
      </c>
      <c r="C2145" t="s">
        <v>9</v>
      </c>
      <c r="D2145">
        <v>26</v>
      </c>
      <c r="E2145">
        <v>27</v>
      </c>
      <c r="F2145">
        <v>1</v>
      </c>
      <c r="G2145">
        <v>2</v>
      </c>
      <c r="H2145" s="1">
        <v>7.4421296296296293E-3</v>
      </c>
      <c r="I2145">
        <v>2016</v>
      </c>
      <c r="J2145" t="s">
        <v>7</v>
      </c>
      <c r="K2145" s="2" t="str">
        <f>HYPERLINK("https://www.nba.com/stats/events?CFID=&amp;CFPARAMS=&amp;GameEventID=145&amp;GameID=0021600701&amp;Season=2016-17&amp;flag=1&amp;title=Ginobili%2025'%203PT%20Jump%20Shot%20(5%20PTS)%20(Leonard%201%20AST)", "Ginobili 25' 3PT Jump Shot (5 PTS) (Leonard 1 AST)")</f>
        <v>Ginobili 25' 3PT Jump Shot (5 PTS) (Leonard 1 AST)</v>
      </c>
      <c r="L2145" s="2" t="str">
        <f>HYPERLINK("https://www.nba.com/game/...-vs-...-0021600701/play-by-play?watchFullGame=true", "SAS vs NOP - Q2 10:43.00")</f>
        <v>SAS vs NOP - Q2 10:43.00</v>
      </c>
      <c r="M2145">
        <v>25</v>
      </c>
      <c r="N2145">
        <v>-222</v>
      </c>
      <c r="O2145">
        <v>110</v>
      </c>
      <c r="P2145">
        <v>-222</v>
      </c>
      <c r="Q2145">
        <v>110</v>
      </c>
      <c r="R2145" t="s">
        <v>0</v>
      </c>
      <c r="S2145" t="s">
        <v>0</v>
      </c>
      <c r="T2145" t="s">
        <v>0</v>
      </c>
    </row>
    <row r="2146" spans="1:20" x14ac:dyDescent="0.25">
      <c r="A2146">
        <v>21600727</v>
      </c>
      <c r="B2146" t="s">
        <v>4</v>
      </c>
      <c r="C2146" t="s">
        <v>28</v>
      </c>
      <c r="D2146">
        <v>103</v>
      </c>
      <c r="E2146">
        <v>84</v>
      </c>
      <c r="F2146">
        <v>19</v>
      </c>
      <c r="G2146">
        <v>4</v>
      </c>
      <c r="H2146" s="1">
        <v>2.7199074074074074E-3</v>
      </c>
      <c r="I2146">
        <v>2016</v>
      </c>
      <c r="J2146" t="s">
        <v>7</v>
      </c>
      <c r="K2146" s="2" t="str">
        <f>HYPERLINK("https://www.nba.com/stats/events?CFID=&amp;CFPARAMS=&amp;GameEventID=596&amp;GameID=0021600727&amp;Season=2016-17&amp;flag=1&amp;title=Aldridge%202'%20Driving%20Finger%20Roll%20Layup%20(22%20PTS)%20(Leonard%204%20AST)", "Aldridge 2' Driving Finger Roll Layup (22 PTS) (Leonard 4 AST)")</f>
        <v>Aldridge 2' Driving Finger Roll Layup (22 PTS) (Leonard 4 AST)</v>
      </c>
      <c r="L2146" s="2" t="str">
        <f>HYPERLINK("https://www.nba.com/game/...-vs-...-0021600727/play-by-play?watchFullGame=true", "SAS vs OKC - Q4 03:55.00")</f>
        <v>SAS vs OKC - Q4 03:55.00</v>
      </c>
      <c r="M2146">
        <v>2</v>
      </c>
      <c r="N2146">
        <v>6</v>
      </c>
      <c r="O2146">
        <v>16</v>
      </c>
      <c r="P2146">
        <v>6</v>
      </c>
      <c r="Q2146">
        <v>16</v>
      </c>
      <c r="R2146" t="s">
        <v>0</v>
      </c>
      <c r="S2146" t="s">
        <v>0</v>
      </c>
      <c r="T2146" t="s">
        <v>0</v>
      </c>
    </row>
    <row r="2147" spans="1:20" x14ac:dyDescent="0.25">
      <c r="A2147">
        <v>21600727</v>
      </c>
      <c r="B2147" t="s">
        <v>10</v>
      </c>
      <c r="C2147" t="s">
        <v>9</v>
      </c>
      <c r="D2147">
        <v>99</v>
      </c>
      <c r="E2147">
        <v>82</v>
      </c>
      <c r="F2147">
        <v>17</v>
      </c>
      <c r="G2147">
        <v>4</v>
      </c>
      <c r="H2147" s="1">
        <v>3.8888888888888888E-3</v>
      </c>
      <c r="I2147">
        <v>2016</v>
      </c>
      <c r="J2147" t="s">
        <v>7</v>
      </c>
      <c r="K2147" s="2" t="str">
        <f>HYPERLINK("https://www.nba.com/stats/events?CFID=&amp;CFPARAMS=&amp;GameEventID=582&amp;GameID=0021600727&amp;Season=2016-17&amp;flag=1&amp;title=Green%2024'%203PT%20Jump%20Shot%20(6%20PTS)%20(Leonard%203%20AST)", "Green 24' 3PT Jump Shot (6 PTS) (Leonard 3 AST)")</f>
        <v>Green 24' 3PT Jump Shot (6 PTS) (Leonard 3 AST)</v>
      </c>
      <c r="L2147" s="2" t="str">
        <f>HYPERLINK("https://www.nba.com/game/...-vs-...-0021600727/play-by-play?watchFullGame=true", "SAS vs OKC - Q4 05:36.00")</f>
        <v>SAS vs OKC - Q4 05:36.00</v>
      </c>
      <c r="M2147">
        <v>24</v>
      </c>
      <c r="N2147">
        <v>194</v>
      </c>
      <c r="O2147">
        <v>149</v>
      </c>
      <c r="P2147">
        <v>194</v>
      </c>
      <c r="Q2147">
        <v>149</v>
      </c>
      <c r="R2147" t="s">
        <v>0</v>
      </c>
      <c r="S2147" t="s">
        <v>0</v>
      </c>
      <c r="T2147" t="s">
        <v>0</v>
      </c>
    </row>
    <row r="2148" spans="1:20" x14ac:dyDescent="0.25">
      <c r="A2148">
        <v>21600762</v>
      </c>
      <c r="B2148" t="s">
        <v>4</v>
      </c>
      <c r="C2148" t="s">
        <v>49</v>
      </c>
      <c r="D2148">
        <v>40</v>
      </c>
      <c r="E2148">
        <v>33</v>
      </c>
      <c r="F2148">
        <v>7</v>
      </c>
      <c r="G2148">
        <v>2</v>
      </c>
      <c r="H2148" s="1">
        <v>5.3125000000000004E-3</v>
      </c>
      <c r="I2148">
        <v>2016</v>
      </c>
      <c r="J2148" t="s">
        <v>7</v>
      </c>
      <c r="K2148" s="2" t="str">
        <f>HYPERLINK("https://www.nba.com/stats/events?CFID=&amp;CFPARAMS=&amp;GameEventID=181&amp;GameID=0021600762&amp;Season=2016-17&amp;flag=1&amp;title=Dedmon%20%20Reverse%20Dunk%20(5%20PTS)%20(Leonard%202%20AST)", "Dedmon  Reverse Dunk (5 PTS) (Leonard 2 AST)")</f>
        <v>Dedmon  Reverse Dunk (5 PTS) (Leonard 2 AST)</v>
      </c>
      <c r="L2148" s="2" t="str">
        <f>HYPERLINK("https://www.nba.com/game/...-vs-...-0021600762/play-by-play?watchFullGame=true", "SAS vs DEN - Q2 07:39.00")</f>
        <v>SAS vs DEN - Q2 07:39.00</v>
      </c>
      <c r="M2148">
        <v>0</v>
      </c>
      <c r="N2148">
        <v>0</v>
      </c>
      <c r="O2148">
        <v>1</v>
      </c>
      <c r="P2148">
        <v>0</v>
      </c>
      <c r="Q2148">
        <v>1</v>
      </c>
      <c r="R2148" t="s">
        <v>0</v>
      </c>
      <c r="S2148" t="s">
        <v>0</v>
      </c>
      <c r="T2148" t="s">
        <v>0</v>
      </c>
    </row>
    <row r="2149" spans="1:20" x14ac:dyDescent="0.25">
      <c r="A2149">
        <v>21600890</v>
      </c>
      <c r="B2149" t="s">
        <v>4</v>
      </c>
      <c r="C2149" t="s">
        <v>5</v>
      </c>
      <c r="D2149">
        <v>37</v>
      </c>
      <c r="E2149">
        <v>24</v>
      </c>
      <c r="F2149">
        <v>13</v>
      </c>
      <c r="G2149">
        <v>2</v>
      </c>
      <c r="H2149" s="1">
        <v>5.0000000000000001E-3</v>
      </c>
      <c r="I2149">
        <v>2016</v>
      </c>
      <c r="J2149" t="s">
        <v>12</v>
      </c>
      <c r="K2149" s="2" t="str">
        <f>HYPERLINK("https://www.nba.com/stats/events?CFID=&amp;CFPARAMS=&amp;GameEventID=168&amp;GameID=0021600890&amp;Season=2016-17&amp;flag=1&amp;title=Lillard%20%20Layup%20(6%20PTS)%20(Leonard%202%20AST)", "Lillard  Layup (6 PTS) (Leonard 2 AST)")</f>
        <v>Lillard  Layup (6 PTS) (Leonard 2 AST)</v>
      </c>
      <c r="L2149" s="2" t="str">
        <f>HYPERLINK("https://www.nba.com/game/...-vs-...-0021600890/play-by-play?watchFullGame=true", "POR vs DET - Q2 07:12.00")</f>
        <v>POR vs DET - Q2 07:12.00</v>
      </c>
      <c r="M2149">
        <v>0</v>
      </c>
      <c r="N2149">
        <v>1</v>
      </c>
      <c r="O2149">
        <v>2</v>
      </c>
      <c r="P2149">
        <v>1</v>
      </c>
      <c r="Q2149">
        <v>2</v>
      </c>
      <c r="R2149" t="s">
        <v>0</v>
      </c>
      <c r="S2149" t="s">
        <v>0</v>
      </c>
      <c r="T2149" t="s">
        <v>0</v>
      </c>
    </row>
    <row r="2150" spans="1:20" x14ac:dyDescent="0.25">
      <c r="A2150">
        <v>21600902</v>
      </c>
      <c r="B2150" t="s">
        <v>4</v>
      </c>
      <c r="C2150" t="s">
        <v>5</v>
      </c>
      <c r="D2150">
        <v>13</v>
      </c>
      <c r="E2150">
        <v>11</v>
      </c>
      <c r="F2150">
        <v>2</v>
      </c>
      <c r="G2150">
        <v>1</v>
      </c>
      <c r="H2150" s="1">
        <v>5.2314814814814811E-3</v>
      </c>
      <c r="I2150">
        <v>2016</v>
      </c>
      <c r="J2150" t="s">
        <v>7</v>
      </c>
      <c r="K2150" s="2" t="str">
        <f>HYPERLINK("https://www.nba.com/stats/events?CFID=&amp;CFPARAMS=&amp;GameEventID=36&amp;GameID=0021600902&amp;Season=2016-17&amp;flag=1&amp;title=Aldridge%201'%20Layup%20(6%20PTS)%20(Leonard%201%20AST)", "Aldridge 1' Layup (6 PTS) (Leonard 1 AST)")</f>
        <v>Aldridge 1' Layup (6 PTS) (Leonard 1 AST)</v>
      </c>
      <c r="L2150" s="2" t="str">
        <f>HYPERLINK("https://www.nba.com/game/...-vs-...-0021600902/play-by-play?watchFullGame=true", "SAS vs IND - Q1 07:32.00")</f>
        <v>SAS vs IND - Q1 07:32.00</v>
      </c>
      <c r="M2150">
        <v>1</v>
      </c>
      <c r="N2150">
        <v>6</v>
      </c>
      <c r="O2150">
        <v>0</v>
      </c>
      <c r="P2150">
        <v>6</v>
      </c>
      <c r="Q2150">
        <v>0</v>
      </c>
      <c r="R2150" t="s">
        <v>0</v>
      </c>
      <c r="S2150" t="s">
        <v>0</v>
      </c>
      <c r="T2150" t="s">
        <v>0</v>
      </c>
    </row>
    <row r="2151" spans="1:20" x14ac:dyDescent="0.25">
      <c r="A2151">
        <v>21601002</v>
      </c>
      <c r="B2151" t="s">
        <v>10</v>
      </c>
      <c r="C2151" t="s">
        <v>9</v>
      </c>
      <c r="D2151">
        <v>19</v>
      </c>
      <c r="E2151">
        <v>23</v>
      </c>
      <c r="F2151">
        <v>4</v>
      </c>
      <c r="G2151">
        <v>2</v>
      </c>
      <c r="H2151" s="1">
        <v>7.7777777777777776E-3</v>
      </c>
      <c r="I2151">
        <v>2016</v>
      </c>
      <c r="J2151" t="s">
        <v>12</v>
      </c>
      <c r="K2151" s="2" t="str">
        <f>HYPERLINK("https://www.nba.com/stats/events?CFID=&amp;CFPARAMS=&amp;GameEventID=149&amp;GameID=0021601002&amp;Season=2016-17&amp;flag=1&amp;title=Napier%2026'%203PT%20Jump%20Shot%20(3%20PTS)%20(Leonard%201%20AST)", "Napier 26' 3PT Jump Shot (3 PTS) (Leonard 1 AST)")</f>
        <v>Napier 26' 3PT Jump Shot (3 PTS) (Leonard 1 AST)</v>
      </c>
      <c r="L2151" s="2" t="str">
        <f>HYPERLINK("https://www.nba.com/game/...-vs-...-0021601002/play-by-play?watchFullGame=true", "POR vs NOP - Q2 11:12.00")</f>
        <v>POR vs NOP - Q2 11:12.00</v>
      </c>
      <c r="M2151">
        <v>26</v>
      </c>
      <c r="N2151">
        <v>-48</v>
      </c>
      <c r="O2151">
        <v>252</v>
      </c>
      <c r="P2151">
        <v>-48</v>
      </c>
      <c r="Q2151">
        <v>252</v>
      </c>
      <c r="R2151" t="s">
        <v>0</v>
      </c>
      <c r="S2151" t="s">
        <v>0</v>
      </c>
      <c r="T2151" t="s">
        <v>0</v>
      </c>
    </row>
    <row r="2152" spans="1:20" x14ac:dyDescent="0.25">
      <c r="A2152">
        <v>21601070</v>
      </c>
      <c r="B2152" t="s">
        <v>4</v>
      </c>
      <c r="C2152" t="s">
        <v>5</v>
      </c>
      <c r="D2152">
        <v>2</v>
      </c>
      <c r="E2152">
        <v>0</v>
      </c>
      <c r="F2152">
        <v>2</v>
      </c>
      <c r="G2152">
        <v>1</v>
      </c>
      <c r="H2152" s="1">
        <v>8.1365740740740738E-3</v>
      </c>
      <c r="I2152">
        <v>2016</v>
      </c>
      <c r="J2152" t="s">
        <v>7</v>
      </c>
      <c r="K2152" s="2" t="str">
        <f>HYPERLINK("https://www.nba.com/stats/events?CFID=&amp;CFPARAMS=&amp;GameEventID=2&amp;GameID=0021601070&amp;Season=2016-17&amp;flag=1&amp;title=Dedmon%203'%20Layup%20(2%20PTS)%20(Leonard%201%20AST)", "Dedmon 3' Layup (2 PTS) (Leonard 1 AST)")</f>
        <v>Dedmon 3' Layup (2 PTS) (Leonard 1 AST)</v>
      </c>
      <c r="L2152" s="2" t="str">
        <f>HYPERLINK("https://www.nba.com/game/...-vs-...-0021601070/play-by-play?watchFullGame=true", "SAS vs MEM - Q1 11:43.00")</f>
        <v>SAS vs MEM - Q1 11:43.00</v>
      </c>
      <c r="M2152">
        <v>3</v>
      </c>
      <c r="N2152">
        <v>24</v>
      </c>
      <c r="O2152">
        <v>7</v>
      </c>
      <c r="P2152">
        <v>24</v>
      </c>
      <c r="Q2152">
        <v>7</v>
      </c>
      <c r="R2152" t="s">
        <v>0</v>
      </c>
      <c r="S2152" t="s">
        <v>0</v>
      </c>
      <c r="T2152" t="s">
        <v>0</v>
      </c>
    </row>
    <row r="2153" spans="1:20" x14ac:dyDescent="0.25">
      <c r="A2153">
        <v>21601070</v>
      </c>
      <c r="B2153" t="s">
        <v>10</v>
      </c>
      <c r="C2153" t="s">
        <v>9</v>
      </c>
      <c r="D2153">
        <v>7</v>
      </c>
      <c r="E2153">
        <v>3</v>
      </c>
      <c r="F2153">
        <v>4</v>
      </c>
      <c r="G2153">
        <v>1</v>
      </c>
      <c r="H2153" s="1">
        <v>6.9675925925925929E-3</v>
      </c>
      <c r="I2153">
        <v>2016</v>
      </c>
      <c r="J2153" t="s">
        <v>7</v>
      </c>
      <c r="K2153" s="2" t="str">
        <f>HYPERLINK("https://www.nba.com/stats/events?CFID=&amp;CFPARAMS=&amp;GameEventID=14&amp;GameID=0021601070&amp;Season=2016-17&amp;flag=1&amp;title=Aldridge%20%203PT%20Jump%20Shot%20(3%20PTS)%20(Leonard%203%20AST)", "Aldridge  3PT Jump Shot (3 PTS) (Leonard 3 AST)")</f>
        <v>Aldridge  3PT Jump Shot (3 PTS) (Leonard 3 AST)</v>
      </c>
      <c r="L2153" s="2" t="str">
        <f>HYPERLINK("https://www.nba.com/game/...-vs-...-0021601070/play-by-play?watchFullGame=true", "SAS vs MEM - Q1 10:02.00")</f>
        <v>SAS vs MEM - Q1 10:02.00</v>
      </c>
      <c r="M2153">
        <v>0</v>
      </c>
      <c r="N2153">
        <v>227</v>
      </c>
      <c r="O2153">
        <v>18</v>
      </c>
      <c r="P2153">
        <v>227</v>
      </c>
      <c r="Q2153">
        <v>18</v>
      </c>
      <c r="R2153" t="s">
        <v>0</v>
      </c>
      <c r="S2153" t="s">
        <v>0</v>
      </c>
      <c r="T2153" t="s">
        <v>0</v>
      </c>
    </row>
    <row r="2154" spans="1:20" x14ac:dyDescent="0.25">
      <c r="A2154">
        <v>21601096</v>
      </c>
      <c r="B2154" t="s">
        <v>4</v>
      </c>
      <c r="C2154" t="s">
        <v>30</v>
      </c>
      <c r="D2154">
        <v>84</v>
      </c>
      <c r="E2154">
        <v>63</v>
      </c>
      <c r="F2154">
        <v>21</v>
      </c>
      <c r="G2154">
        <v>4</v>
      </c>
      <c r="H2154" s="1">
        <v>5.5092592592592589E-3</v>
      </c>
      <c r="I2154">
        <v>2016</v>
      </c>
      <c r="J2154" t="s">
        <v>12</v>
      </c>
      <c r="K2154" s="2" t="str">
        <f>HYPERLINK("https://www.nba.com/stats/events?CFID=&amp;CFPARAMS=&amp;GameEventID=423&amp;GameID=0021601096&amp;Season=2016-17&amp;flag=1&amp;title=McCollum%2015'%20Turnaround%20Fadeaway%20(13%20PTS)%20(Leonard%202%20AST)", "McCollum 15' Turnaround Fadeaway (13 PTS) (Leonard 2 AST)")</f>
        <v>McCollum 15' Turnaround Fadeaway (13 PTS) (Leonard 2 AST)</v>
      </c>
      <c r="L2154" s="2" t="str">
        <f>HYPERLINK("https://www.nba.com/game/...-vs-...-0021601096/play-by-play?watchFullGame=true", "POR vs LAL - Q4 07:56.00")</f>
        <v>POR vs LAL - Q4 07:56.00</v>
      </c>
      <c r="M2154">
        <v>15</v>
      </c>
      <c r="N2154">
        <v>81</v>
      </c>
      <c r="O2154">
        <v>130</v>
      </c>
      <c r="P2154">
        <v>81</v>
      </c>
      <c r="Q2154">
        <v>130</v>
      </c>
      <c r="R2154" t="s">
        <v>0</v>
      </c>
      <c r="S2154" t="s">
        <v>0</v>
      </c>
      <c r="T2154" t="s">
        <v>0</v>
      </c>
    </row>
    <row r="2155" spans="1:20" x14ac:dyDescent="0.25">
      <c r="A2155">
        <v>21800019</v>
      </c>
      <c r="B2155" t="s">
        <v>10</v>
      </c>
      <c r="C2155" t="s">
        <v>9</v>
      </c>
      <c r="D2155">
        <v>14</v>
      </c>
      <c r="E2155">
        <v>11</v>
      </c>
      <c r="F2155">
        <v>3</v>
      </c>
      <c r="G2155">
        <v>1</v>
      </c>
      <c r="H2155" s="1">
        <v>3.4375E-3</v>
      </c>
      <c r="I2155">
        <v>2018</v>
      </c>
      <c r="J2155" t="s">
        <v>1</v>
      </c>
      <c r="K2155" s="2" t="str">
        <f>HYPERLINK("https://www.nba.com/stats/events?CFID=&amp;CFPARAMS=&amp;GameEventID=86&amp;GameID=0021800019&amp;Season=2018-19&amp;flag=1&amp;title=Green%203PT%20Jump%20Shot%20(3%20PTS)%20(Leonard%202%20AST)", "Green 3PT Jump Shot (3 PTS) (Leonard 2 AST)")</f>
        <v>Green 3PT Jump Shot (3 PTS) (Leonard 2 AST)</v>
      </c>
      <c r="L2155" s="2" t="str">
        <f>HYPERLINK("https://www.nba.com/game/...-vs-...-0021800019/play-by-play?watchFullGame=true", "TOR vs BOS - Q1 04:57.00")</f>
        <v>TOR vs BOS - Q1 04:57.00</v>
      </c>
      <c r="M2155">
        <v>0</v>
      </c>
      <c r="N2155">
        <v>228</v>
      </c>
      <c r="O2155">
        <v>14</v>
      </c>
      <c r="P2155">
        <v>228</v>
      </c>
      <c r="Q2155">
        <v>14</v>
      </c>
      <c r="R2155" t="s">
        <v>0</v>
      </c>
      <c r="S2155" t="s">
        <v>0</v>
      </c>
      <c r="T2155" t="s">
        <v>0</v>
      </c>
    </row>
    <row r="2156" spans="1:20" x14ac:dyDescent="0.25">
      <c r="A2156">
        <v>21800161</v>
      </c>
      <c r="B2156" t="s">
        <v>10</v>
      </c>
      <c r="C2156" t="s">
        <v>19</v>
      </c>
      <c r="D2156">
        <v>60</v>
      </c>
      <c r="E2156">
        <v>46</v>
      </c>
      <c r="F2156">
        <v>14</v>
      </c>
      <c r="G2156">
        <v>2</v>
      </c>
      <c r="H2156" s="1">
        <v>1.8287037037037037E-3</v>
      </c>
      <c r="I2156">
        <v>2018</v>
      </c>
      <c r="J2156" t="s">
        <v>1</v>
      </c>
      <c r="K2156" s="2" t="str">
        <f>HYPERLINK("https://www.nba.com/stats/events?CFID=&amp;CFPARAMS=&amp;GameEventID=305&amp;GameID=0021800161&amp;Season=2018-19&amp;flag=1&amp;title=Green%2025'%203PT%20Pullup%20Jump%20Shot%20(6%20PTS)%20(Leonard%202%20AST)", "Green 25' 3PT Pullup Jump Shot (6 PTS) (Leonard 2 AST)")</f>
        <v>Green 25' 3PT Pullup Jump Shot (6 PTS) (Leonard 2 AST)</v>
      </c>
      <c r="L2156" s="2" t="str">
        <f>HYPERLINK("https://www.nba.com/game/...-vs-...-0021800161/play-by-play?watchFullGame=true", "TOR vs SAC - Q2 02:38.00")</f>
        <v>TOR vs SAC - Q2 02:38.00</v>
      </c>
      <c r="M2156">
        <v>25</v>
      </c>
      <c r="N2156">
        <v>-188</v>
      </c>
      <c r="O2156">
        <v>159</v>
      </c>
      <c r="P2156">
        <v>-188</v>
      </c>
      <c r="Q2156">
        <v>159</v>
      </c>
      <c r="R2156" t="s">
        <v>0</v>
      </c>
      <c r="S2156" t="s">
        <v>0</v>
      </c>
      <c r="T2156" t="s">
        <v>0</v>
      </c>
    </row>
    <row r="2157" spans="1:20" x14ac:dyDescent="0.25">
      <c r="A2157">
        <v>21801169</v>
      </c>
      <c r="B2157" t="s">
        <v>10</v>
      </c>
      <c r="C2157" t="s">
        <v>9</v>
      </c>
      <c r="D2157">
        <v>50</v>
      </c>
      <c r="E2157">
        <v>41</v>
      </c>
      <c r="F2157">
        <v>9</v>
      </c>
      <c r="G2157">
        <v>2</v>
      </c>
      <c r="H2157" s="1">
        <v>2.5000000000000001E-3</v>
      </c>
      <c r="I2157">
        <v>2018</v>
      </c>
      <c r="J2157" t="s">
        <v>1</v>
      </c>
      <c r="K2157" s="2" t="str">
        <f>HYPERLINK("https://www.nba.com/stats/events?CFID=&amp;CFPARAMS=&amp;GameEventID=286&amp;GameID=0021801169&amp;Season=2018-19&amp;flag=1&amp;title=Meeks%2025'%203PT%20Jump%20Shot%20(5%20PTS)%20(Leonard%202%20AST)", "Meeks 25' 3PT Jump Shot (5 PTS) (Leonard 2 AST)")</f>
        <v>Meeks 25' 3PT Jump Shot (5 PTS) (Leonard 2 AST)</v>
      </c>
      <c r="L2157" s="2" t="str">
        <f>HYPERLINK("https://www.nba.com/game/...-vs-...-0021801169/play-by-play?watchFullGame=true", "TOR vs BKN - Q2 03:36.00")</f>
        <v>TOR vs BKN - Q2 03:36.00</v>
      </c>
      <c r="M2157">
        <v>25</v>
      </c>
      <c r="N2157">
        <v>-119</v>
      </c>
      <c r="O2157">
        <v>221</v>
      </c>
      <c r="P2157">
        <v>-119</v>
      </c>
      <c r="Q2157">
        <v>221</v>
      </c>
      <c r="R2157" t="s">
        <v>0</v>
      </c>
      <c r="S2157" t="s">
        <v>0</v>
      </c>
      <c r="T2157" t="s">
        <v>0</v>
      </c>
    </row>
    <row r="2158" spans="1:20" x14ac:dyDescent="0.25">
      <c r="A2158">
        <v>21801180</v>
      </c>
      <c r="B2158" t="s">
        <v>4</v>
      </c>
      <c r="C2158" t="s">
        <v>29</v>
      </c>
      <c r="D2158">
        <v>79</v>
      </c>
      <c r="E2158">
        <v>77</v>
      </c>
      <c r="F2158">
        <v>2</v>
      </c>
      <c r="G2158">
        <v>3</v>
      </c>
      <c r="H2158" s="1">
        <v>3.3217592592592591E-3</v>
      </c>
      <c r="I2158">
        <v>2018</v>
      </c>
      <c r="J2158" t="s">
        <v>1</v>
      </c>
      <c r="K2158" s="2" t="str">
        <f>HYPERLINK("https://www.nba.com/stats/events?CFID=&amp;CFPARAMS=&amp;GameEventID=395&amp;GameID=0021801180&amp;Season=2018-19&amp;flag=1&amp;title=Lowry%206'%20Driving%20Floating%20Jump%20Shot%20(16%20PTS)%20(Leonard%203%20AST)", "Lowry 6' Driving Floating Jump Shot (16 PTS) (Leonard 3 AST)")</f>
        <v>Lowry 6' Driving Floating Jump Shot (16 PTS) (Leonard 3 AST)</v>
      </c>
      <c r="L2158" s="2" t="str">
        <f>HYPERLINK("https://www.nba.com/game/...-vs-...-0021801180/play-by-play?watchFullGame=true", "TOR vs CHA - Q3 04:47.00")</f>
        <v>TOR vs CHA - Q3 04:47.00</v>
      </c>
      <c r="M2158">
        <v>6</v>
      </c>
      <c r="N2158">
        <v>2</v>
      </c>
      <c r="O2158">
        <v>59</v>
      </c>
      <c r="P2158">
        <v>2</v>
      </c>
      <c r="Q2158">
        <v>59</v>
      </c>
      <c r="R2158" t="s">
        <v>0</v>
      </c>
      <c r="S2158" t="s">
        <v>0</v>
      </c>
      <c r="T2158" t="s">
        <v>0</v>
      </c>
    </row>
    <row r="2159" spans="1:20" x14ac:dyDescent="0.25">
      <c r="A2159">
        <v>21801180</v>
      </c>
      <c r="B2159" t="s">
        <v>10</v>
      </c>
      <c r="C2159" t="s">
        <v>9</v>
      </c>
      <c r="D2159">
        <v>19</v>
      </c>
      <c r="E2159">
        <v>5</v>
      </c>
      <c r="F2159">
        <v>14</v>
      </c>
      <c r="G2159">
        <v>1</v>
      </c>
      <c r="H2159" s="1">
        <v>5.4861111111111109E-3</v>
      </c>
      <c r="I2159">
        <v>2018</v>
      </c>
      <c r="J2159" t="s">
        <v>1</v>
      </c>
      <c r="K2159" s="2" t="str">
        <f>HYPERLINK("https://www.nba.com/stats/events?CFID=&amp;CFPARAMS=&amp;GameEventID=53&amp;GameID=0021801180&amp;Season=2018-19&amp;flag=1&amp;title=Green%2024'%203PT%20Jump%20Shot%20(6%20PTS)%20(Leonard%201%20AST)", "Green 24' 3PT Jump Shot (6 PTS) (Leonard 1 AST)")</f>
        <v>Green 24' 3PT Jump Shot (6 PTS) (Leonard 1 AST)</v>
      </c>
      <c r="L2159" s="2" t="str">
        <f>HYPERLINK("https://www.nba.com/game/...-vs-...-0021801180/play-by-play?watchFullGame=true", "TOR vs CHA - Q1 07:54.00")</f>
        <v>TOR vs CHA - Q1 07:54.00</v>
      </c>
      <c r="M2159">
        <v>24</v>
      </c>
      <c r="N2159">
        <v>234</v>
      </c>
      <c r="O2159">
        <v>30</v>
      </c>
      <c r="P2159">
        <v>234</v>
      </c>
      <c r="Q2159">
        <v>30</v>
      </c>
      <c r="R2159" t="s">
        <v>0</v>
      </c>
      <c r="S2159" t="s">
        <v>0</v>
      </c>
      <c r="T2159" t="s">
        <v>0</v>
      </c>
    </row>
    <row r="2160" spans="1:20" x14ac:dyDescent="0.25">
      <c r="A2160">
        <v>21801214</v>
      </c>
      <c r="B2160" t="s">
        <v>10</v>
      </c>
      <c r="C2160" t="s">
        <v>9</v>
      </c>
      <c r="D2160">
        <v>83</v>
      </c>
      <c r="E2160">
        <v>63</v>
      </c>
      <c r="F2160">
        <v>20</v>
      </c>
      <c r="G2160">
        <v>3</v>
      </c>
      <c r="H2160" s="1">
        <v>4.2592592592592595E-3</v>
      </c>
      <c r="I2160">
        <v>2018</v>
      </c>
      <c r="J2160" t="s">
        <v>1</v>
      </c>
      <c r="K2160" s="2" t="str">
        <f>HYPERLINK("https://www.nba.com/stats/events?CFID=&amp;CFPARAMS=&amp;GameEventID=402&amp;GameID=0021801214&amp;Season=2018-19&amp;flag=1&amp;title=VanVleet%203PT%20Jump%20Shot%20(13%20PTS)%20(Leonard%201%20AST)", "VanVleet 3PT Jump Shot (13 PTS) (Leonard 1 AST)")</f>
        <v>VanVleet 3PT Jump Shot (13 PTS) (Leonard 1 AST)</v>
      </c>
      <c r="L2160" s="2" t="str">
        <f>HYPERLINK("https://www.nba.com/game/...-vs-...-0021801214/play-by-play?watchFullGame=true", "TOR vs MIN - Q3 06:08.00")</f>
        <v>TOR vs MIN - Q3 06:08.00</v>
      </c>
      <c r="M2160">
        <v>0</v>
      </c>
      <c r="N2160">
        <v>-227</v>
      </c>
      <c r="O2160">
        <v>22</v>
      </c>
      <c r="P2160">
        <v>-227</v>
      </c>
      <c r="Q2160">
        <v>22</v>
      </c>
      <c r="R2160" t="s">
        <v>0</v>
      </c>
      <c r="S2160" t="s">
        <v>0</v>
      </c>
      <c r="T2160" t="s">
        <v>0</v>
      </c>
    </row>
    <row r="2161" spans="1:20" x14ac:dyDescent="0.25">
      <c r="A2161">
        <v>21801230</v>
      </c>
      <c r="B2161" t="s">
        <v>4</v>
      </c>
      <c r="C2161" t="s">
        <v>23</v>
      </c>
      <c r="D2161">
        <v>100</v>
      </c>
      <c r="E2161">
        <v>113</v>
      </c>
      <c r="F2161">
        <v>13</v>
      </c>
      <c r="G2161">
        <v>4</v>
      </c>
      <c r="H2161" s="1">
        <v>8.1481481481481474E-3</v>
      </c>
      <c r="I2161">
        <v>2018</v>
      </c>
      <c r="J2161" t="s">
        <v>12</v>
      </c>
      <c r="K2161" s="2" t="str">
        <f>HYPERLINK("https://www.nba.com/stats/events?CFID=&amp;CFPARAMS=&amp;GameEventID=433&amp;GameID=0021801230&amp;Season=2018-19&amp;flag=1&amp;title=Trent%20Jr.%201'%20Driving%20Layup%20(13%20PTS)%20(Leonard%202%20AST)", "Trent Jr. 1' Driving Layup (13 PTS) (Leonard 2 AST)")</f>
        <v>Trent Jr. 1' Driving Layup (13 PTS) (Leonard 2 AST)</v>
      </c>
      <c r="L2161" s="2" t="str">
        <f>HYPERLINK("https://www.nba.com/game/...-vs-...-0021801230/play-by-play?watchFullGame=true", "POR vs SAC - Q4 11:44.00")</f>
        <v>POR vs SAC - Q4 11:44.00</v>
      </c>
      <c r="M2161">
        <v>1</v>
      </c>
      <c r="N2161">
        <v>1</v>
      </c>
      <c r="O2161">
        <v>11</v>
      </c>
      <c r="P2161">
        <v>1</v>
      </c>
      <c r="Q2161">
        <v>11</v>
      </c>
      <c r="R2161" t="s">
        <v>0</v>
      </c>
      <c r="S2161" t="s">
        <v>0</v>
      </c>
      <c r="T2161" t="s">
        <v>0</v>
      </c>
    </row>
    <row r="2162" spans="1:20" x14ac:dyDescent="0.25">
      <c r="A2162">
        <v>21600543</v>
      </c>
      <c r="B2162" t="s">
        <v>10</v>
      </c>
      <c r="C2162" t="s">
        <v>9</v>
      </c>
      <c r="D2162">
        <v>88</v>
      </c>
      <c r="E2162">
        <v>72</v>
      </c>
      <c r="F2162">
        <v>16</v>
      </c>
      <c r="G2162">
        <v>3</v>
      </c>
      <c r="H2162" s="1">
        <v>6.9444444444444447E-4</v>
      </c>
      <c r="I2162">
        <v>2016</v>
      </c>
      <c r="J2162" t="s">
        <v>7</v>
      </c>
      <c r="K2162" s="2" t="str">
        <f>HYPERLINK("https://www.nba.com/stats/events?CFID=&amp;CFPARAMS=&amp;GameEventID=350&amp;GameID=0021600543&amp;Season=2016-17&amp;flag=1&amp;title=Ginobili%2025'%203PT%20Jump%20Shot%20(8%20PTS)%20(Leonard%203%20AST)", "Ginobili 25' 3PT Jump Shot (8 PTS) (Leonard 3 AST)")</f>
        <v>Ginobili 25' 3PT Jump Shot (8 PTS) (Leonard 3 AST)</v>
      </c>
      <c r="L2162" s="2" t="str">
        <f>HYPERLINK("https://www.nba.com/game/...-vs-...-0021600543/play-by-play?watchFullGame=true", "SAS vs DEN - Q3 01:00.00")</f>
        <v>SAS vs DEN - Q3 01:00.00</v>
      </c>
      <c r="M2162">
        <v>25</v>
      </c>
      <c r="N2162">
        <v>-189</v>
      </c>
      <c r="O2162">
        <v>169</v>
      </c>
      <c r="P2162">
        <v>-189</v>
      </c>
      <c r="Q2162">
        <v>169</v>
      </c>
      <c r="R2162" t="s">
        <v>0</v>
      </c>
      <c r="S2162" t="s">
        <v>0</v>
      </c>
      <c r="T2162" t="s">
        <v>0</v>
      </c>
    </row>
    <row r="2163" spans="1:20" x14ac:dyDescent="0.25">
      <c r="A2163">
        <v>21600639</v>
      </c>
      <c r="B2163" t="s">
        <v>4</v>
      </c>
      <c r="C2163" t="s">
        <v>9</v>
      </c>
      <c r="D2163">
        <v>61</v>
      </c>
      <c r="E2163">
        <v>58</v>
      </c>
      <c r="F2163">
        <v>3</v>
      </c>
      <c r="G2163">
        <v>3</v>
      </c>
      <c r="H2163" s="1">
        <v>8.1828703703703699E-3</v>
      </c>
      <c r="I2163">
        <v>2016</v>
      </c>
      <c r="J2163" t="s">
        <v>7</v>
      </c>
      <c r="K2163" s="2" t="str">
        <f>HYPERLINK("https://www.nba.com/stats/events?CFID=&amp;CFPARAMS=&amp;GameEventID=272&amp;GameID=0021600639&amp;Season=2016-17&amp;flag=1&amp;title=Aldridge%2016'%20Jump%20Shot%20(10%20PTS)%20(Leonard%203%20AST)", "Aldridge 16' Jump Shot (10 PTS) (Leonard 3 AST)")</f>
        <v>Aldridge 16' Jump Shot (10 PTS) (Leonard 3 AST)</v>
      </c>
      <c r="L2163" s="2" t="str">
        <f>HYPERLINK("https://www.nba.com/game/...-vs-...-0021600639/play-by-play?watchFullGame=true", "SAS vs DEN - Q3 11:47.00")</f>
        <v>SAS vs DEN - Q3 11:47.00</v>
      </c>
      <c r="M2163">
        <v>16</v>
      </c>
      <c r="N2163">
        <v>-74</v>
      </c>
      <c r="O2163">
        <v>141</v>
      </c>
      <c r="P2163">
        <v>-74</v>
      </c>
      <c r="Q2163">
        <v>141</v>
      </c>
      <c r="R2163" t="s">
        <v>0</v>
      </c>
      <c r="S2163" t="s">
        <v>0</v>
      </c>
      <c r="T2163" t="s">
        <v>0</v>
      </c>
    </row>
    <row r="2164" spans="1:20" x14ac:dyDescent="0.25">
      <c r="A2164">
        <v>21600728</v>
      </c>
      <c r="B2164" t="s">
        <v>10</v>
      </c>
      <c r="C2164" t="s">
        <v>9</v>
      </c>
      <c r="D2164">
        <v>115</v>
      </c>
      <c r="E2164">
        <v>95</v>
      </c>
      <c r="F2164">
        <v>20</v>
      </c>
      <c r="G2164">
        <v>4</v>
      </c>
      <c r="H2164" s="1">
        <v>3.7731481481481481E-4</v>
      </c>
      <c r="I2164">
        <v>2016</v>
      </c>
      <c r="J2164" t="s">
        <v>12</v>
      </c>
      <c r="K2164" s="2" t="str">
        <f>HYPERLINK("https://www.nba.com/stats/events?CFID=&amp;CFPARAMS=&amp;GameEventID=510&amp;GameID=0021600728&amp;Season=2016-17&amp;flag=1&amp;title=Connaughton%20%203PT%20Jump%20Shot%20(5%20PTS)%20(Leonard%204%20AST)", "Connaughton  3PT Jump Shot (5 PTS) (Leonard 4 AST)")</f>
        <v>Connaughton  3PT Jump Shot (5 PTS) (Leonard 4 AST)</v>
      </c>
      <c r="L2164" s="2" t="str">
        <f>HYPERLINK("https://www.nba.com/game/...-vs-...-0021600728/play-by-play?watchFullGame=true", "POR vs CHA - Q4 00:32.60")</f>
        <v>POR vs CHA - Q4 00:32.60</v>
      </c>
      <c r="M2164">
        <v>0</v>
      </c>
      <c r="N2164">
        <v>-228</v>
      </c>
      <c r="O2164">
        <v>16</v>
      </c>
      <c r="P2164">
        <v>-228</v>
      </c>
      <c r="Q2164">
        <v>16</v>
      </c>
      <c r="R2164" t="s">
        <v>0</v>
      </c>
      <c r="S2164" t="s">
        <v>0</v>
      </c>
      <c r="T2164" t="s">
        <v>0</v>
      </c>
    </row>
    <row r="2165" spans="1:20" x14ac:dyDescent="0.25">
      <c r="A2165">
        <v>21600744</v>
      </c>
      <c r="B2165" t="s">
        <v>4</v>
      </c>
      <c r="C2165" t="s">
        <v>18</v>
      </c>
      <c r="D2165">
        <v>83</v>
      </c>
      <c r="E2165">
        <v>75</v>
      </c>
      <c r="F2165">
        <v>8</v>
      </c>
      <c r="G2165">
        <v>4</v>
      </c>
      <c r="H2165" s="1">
        <v>7.2685185185185188E-3</v>
      </c>
      <c r="I2165">
        <v>2016</v>
      </c>
      <c r="J2165" t="s">
        <v>7</v>
      </c>
      <c r="K2165" s="2" t="str">
        <f>HYPERLINK("https://www.nba.com/stats/events?CFID=&amp;CFPARAMS=&amp;GameEventID=475&amp;GameID=0021600744&amp;Season=2016-17&amp;flag=1&amp;title=Simmons%206'%20Hook%20Shot%20(7%20PTS)%20(Leonard%204%20AST)", "Simmons 6' Hook Shot (7 PTS) (Leonard 4 AST)")</f>
        <v>Simmons 6' Hook Shot (7 PTS) (Leonard 4 AST)</v>
      </c>
      <c r="L2165" s="2" t="str">
        <f>HYPERLINK("https://www.nba.com/game/...-vs-...-0021600744/play-by-play?watchFullGame=true", "SAS vs PHI - Q4 10:28.00")</f>
        <v>SAS vs PHI - Q4 10:28.00</v>
      </c>
      <c r="M2165">
        <v>6</v>
      </c>
      <c r="N2165">
        <v>56</v>
      </c>
      <c r="O2165">
        <v>23</v>
      </c>
      <c r="P2165">
        <v>56</v>
      </c>
      <c r="Q2165">
        <v>23</v>
      </c>
      <c r="R2165" t="s">
        <v>0</v>
      </c>
      <c r="S2165" t="s">
        <v>0</v>
      </c>
      <c r="T2165" t="s">
        <v>0</v>
      </c>
    </row>
    <row r="2166" spans="1:20" x14ac:dyDescent="0.25">
      <c r="A2166">
        <v>21600762</v>
      </c>
      <c r="B2166" t="s">
        <v>4</v>
      </c>
      <c r="C2166" t="s">
        <v>45</v>
      </c>
      <c r="D2166">
        <v>42</v>
      </c>
      <c r="E2166">
        <v>33</v>
      </c>
      <c r="F2166">
        <v>9</v>
      </c>
      <c r="G2166">
        <v>2</v>
      </c>
      <c r="H2166" s="1">
        <v>5.092592592592593E-3</v>
      </c>
      <c r="I2166">
        <v>2016</v>
      </c>
      <c r="J2166" t="s">
        <v>7</v>
      </c>
      <c r="K2166" s="2" t="str">
        <f>HYPERLINK("https://www.nba.com/stats/events?CFID=&amp;CFPARAMS=&amp;GameEventID=184&amp;GameID=0021600762&amp;Season=2016-17&amp;flag=1&amp;title=Dedmon%20%20Alley%20Oop%20Dunk%20(7%20PTS)%20(Leonard%203%20AST)", "Dedmon  Alley Oop Dunk (7 PTS) (Leonard 3 AST)")</f>
        <v>Dedmon  Alley Oop Dunk (7 PTS) (Leonard 3 AST)</v>
      </c>
      <c r="L2166" s="2" t="str">
        <f>HYPERLINK("https://www.nba.com/game/...-vs-...-0021600762/play-by-play?watchFullGame=true", "SAS vs DEN - Q2 07:20.00")</f>
        <v>SAS vs DEN - Q2 07:20.00</v>
      </c>
      <c r="M2166">
        <v>0</v>
      </c>
      <c r="N2166">
        <v>0</v>
      </c>
      <c r="O2166">
        <v>1</v>
      </c>
      <c r="P2166">
        <v>0</v>
      </c>
      <c r="Q2166">
        <v>1</v>
      </c>
      <c r="R2166" t="s">
        <v>0</v>
      </c>
      <c r="S2166" t="s">
        <v>0</v>
      </c>
      <c r="T2166" t="s">
        <v>0</v>
      </c>
    </row>
    <row r="2167" spans="1:20" x14ac:dyDescent="0.25">
      <c r="A2167">
        <v>21600878</v>
      </c>
      <c r="B2167" t="s">
        <v>4</v>
      </c>
      <c r="C2167" t="s">
        <v>16</v>
      </c>
      <c r="D2167">
        <v>21</v>
      </c>
      <c r="E2167">
        <v>18</v>
      </c>
      <c r="F2167">
        <v>3</v>
      </c>
      <c r="G2167">
        <v>1</v>
      </c>
      <c r="H2167" s="1">
        <v>2.3726851851851851E-3</v>
      </c>
      <c r="I2167">
        <v>2016</v>
      </c>
      <c r="J2167" t="s">
        <v>12</v>
      </c>
      <c r="K2167" s="2" t="str">
        <f>HYPERLINK("https://www.nba.com/stats/events?CFID=&amp;CFPARAMS=&amp;GameEventID=97&amp;GameID=0021600878&amp;Season=2016-17&amp;flag=1&amp;title=Harkless%20%20Running%20Dunk%20(9%20PTS)%20(Leonard%201%20AST)", "Harkless  Running Dunk (9 PTS) (Leonard 1 AST)")</f>
        <v>Harkless  Running Dunk (9 PTS) (Leonard 1 AST)</v>
      </c>
      <c r="L2167" s="2" t="str">
        <f>HYPERLINK("https://www.nba.com/game/...-vs-...-0021600878/play-by-play?watchFullGame=true", "POR vs TOR - Q1 03:25.00")</f>
        <v>POR vs TOR - Q1 03:25.00</v>
      </c>
      <c r="M2167">
        <v>0</v>
      </c>
      <c r="N2167">
        <v>0</v>
      </c>
      <c r="O2167">
        <v>1</v>
      </c>
      <c r="P2167">
        <v>0</v>
      </c>
      <c r="Q2167">
        <v>1</v>
      </c>
      <c r="R2167" t="s">
        <v>0</v>
      </c>
      <c r="S2167" t="s">
        <v>0</v>
      </c>
      <c r="T2167" t="s">
        <v>0</v>
      </c>
    </row>
    <row r="2168" spans="1:20" x14ac:dyDescent="0.25">
      <c r="A2168">
        <v>21601033</v>
      </c>
      <c r="B2168" t="s">
        <v>4</v>
      </c>
      <c r="C2168" t="s">
        <v>26</v>
      </c>
      <c r="D2168">
        <v>36</v>
      </c>
      <c r="E2168">
        <v>36</v>
      </c>
      <c r="F2168">
        <v>0</v>
      </c>
      <c r="G2168">
        <v>2</v>
      </c>
      <c r="H2168" s="1">
        <v>2.8240740740740739E-3</v>
      </c>
      <c r="I2168">
        <v>2016</v>
      </c>
      <c r="J2168" t="s">
        <v>7</v>
      </c>
      <c r="K2168" s="2" t="str">
        <f>HYPERLINK("https://www.nba.com/stats/events?CFID=&amp;CFPARAMS=&amp;GameEventID=192&amp;GameID=0021601033&amp;Season=2016-17&amp;flag=1&amp;title=Lee%201'%20Reverse%20Layup%20(2%20PTS)%20(Leonard%202%20AST)", "Lee 1' Reverse Layup (2 PTS) (Leonard 2 AST)")</f>
        <v>Lee 1' Reverse Layup (2 PTS) (Leonard 2 AST)</v>
      </c>
      <c r="L2168" s="2" t="str">
        <f>HYPERLINK("https://www.nba.com/game/...-vs-...-0021601033/play-by-play?watchFullGame=true", "SAS vs MEM - Q2 04:04.00")</f>
        <v>SAS vs MEM - Q2 04:04.00</v>
      </c>
      <c r="M2168">
        <v>1</v>
      </c>
      <c r="N2168">
        <v>9</v>
      </c>
      <c r="O2168">
        <v>2</v>
      </c>
      <c r="P2168">
        <v>9</v>
      </c>
      <c r="Q2168">
        <v>2</v>
      </c>
      <c r="R2168" t="s">
        <v>0</v>
      </c>
      <c r="S2168" t="s">
        <v>0</v>
      </c>
      <c r="T2168" t="s">
        <v>0</v>
      </c>
    </row>
    <row r="2169" spans="1:20" x14ac:dyDescent="0.25">
      <c r="A2169">
        <v>21601057</v>
      </c>
      <c r="B2169" t="s">
        <v>4</v>
      </c>
      <c r="C2169" t="s">
        <v>20</v>
      </c>
      <c r="D2169">
        <v>21</v>
      </c>
      <c r="E2169">
        <v>15</v>
      </c>
      <c r="F2169">
        <v>6</v>
      </c>
      <c r="G2169">
        <v>1</v>
      </c>
      <c r="H2169" s="1">
        <v>6.6782407407407415E-4</v>
      </c>
      <c r="I2169">
        <v>2016</v>
      </c>
      <c r="J2169" t="s">
        <v>12</v>
      </c>
      <c r="K2169" s="2" t="str">
        <f>HYPERLINK("https://www.nba.com/stats/events?CFID=&amp;CFPARAMS=&amp;GameEventID=102&amp;GameID=0021601057&amp;Season=2016-17&amp;flag=1&amp;title=Crabbe%201'%20Cutting%20Layup%20Shot%20(2%20PTS)%20(Leonard%201%20AST)", "Crabbe 1' Cutting Layup Shot (2 PTS) (Leonard 1 AST)")</f>
        <v>Crabbe 1' Cutting Layup Shot (2 PTS) (Leonard 1 AST)</v>
      </c>
      <c r="L2169" s="2" t="str">
        <f>HYPERLINK("https://www.nba.com/game/...-vs-...-0021601057/play-by-play?watchFullGame=true", "POR vs MIL - Q1 00:57.70")</f>
        <v>POR vs MIL - Q1 00:57.70</v>
      </c>
      <c r="M2169">
        <v>1</v>
      </c>
      <c r="N2169">
        <v>12</v>
      </c>
      <c r="O2169">
        <v>2</v>
      </c>
      <c r="P2169">
        <v>12</v>
      </c>
      <c r="Q2169">
        <v>2</v>
      </c>
      <c r="R2169" t="s">
        <v>0</v>
      </c>
      <c r="S2169" t="s">
        <v>0</v>
      </c>
      <c r="T2169" t="s">
        <v>0</v>
      </c>
    </row>
    <row r="2170" spans="1:20" x14ac:dyDescent="0.25">
      <c r="A2170">
        <v>21800347</v>
      </c>
      <c r="B2170" t="s">
        <v>4</v>
      </c>
      <c r="C2170" t="s">
        <v>24</v>
      </c>
      <c r="D2170">
        <v>8</v>
      </c>
      <c r="E2170">
        <v>10</v>
      </c>
      <c r="F2170">
        <v>2</v>
      </c>
      <c r="G2170">
        <v>1</v>
      </c>
      <c r="H2170" s="1">
        <v>5.2893518518518515E-3</v>
      </c>
      <c r="I2170">
        <v>2018</v>
      </c>
      <c r="J2170" t="s">
        <v>1</v>
      </c>
      <c r="K2170" s="2" t="str">
        <f>HYPERLINK("https://www.nba.com/stats/events?CFID=&amp;CFPARAMS=&amp;GameEventID=43&amp;GameID=0021800347&amp;Season=2018-19&amp;flag=1&amp;title=Siakam%201'%20Cutting%20Finger%20Roll%20Layup%20Shot%20(2%20PTS)%20(Leonard%201%20AST)", "Siakam 1' Cutting Finger Roll Layup Shot (2 PTS) (Leonard 1 AST)")</f>
        <v>Siakam 1' Cutting Finger Roll Layup Shot (2 PTS) (Leonard 1 AST)</v>
      </c>
      <c r="L2170" s="2" t="str">
        <f>HYPERLINK("https://www.nba.com/game/...-vs-...-0021800347/play-by-play?watchFullGame=true", "TOR vs DEN - Q1 07:37.00")</f>
        <v>TOR vs DEN - Q1 07:37.00</v>
      </c>
      <c r="M2170">
        <v>1</v>
      </c>
      <c r="N2170">
        <v>-1</v>
      </c>
      <c r="O2170">
        <v>11</v>
      </c>
      <c r="P2170">
        <v>-1</v>
      </c>
      <c r="Q2170">
        <v>11</v>
      </c>
      <c r="R2170" t="s">
        <v>0</v>
      </c>
      <c r="S2170" t="s">
        <v>0</v>
      </c>
      <c r="T2170" t="s">
        <v>0</v>
      </c>
    </row>
    <row r="2171" spans="1:20" x14ac:dyDescent="0.25">
      <c r="A2171">
        <v>21800442</v>
      </c>
      <c r="B2171" t="s">
        <v>4</v>
      </c>
      <c r="C2171" t="s">
        <v>38</v>
      </c>
      <c r="D2171">
        <v>58</v>
      </c>
      <c r="E2171">
        <v>49</v>
      </c>
      <c r="F2171">
        <v>9</v>
      </c>
      <c r="G2171">
        <v>3</v>
      </c>
      <c r="H2171" s="1">
        <v>5.4050925925925924E-3</v>
      </c>
      <c r="I2171">
        <v>2018</v>
      </c>
      <c r="J2171" t="s">
        <v>1</v>
      </c>
      <c r="K2171" s="2" t="str">
        <f>HYPERLINK("https://www.nba.com/stats/events?CFID=&amp;CFPARAMS=&amp;GameEventID=325&amp;GameID=0021800442&amp;Season=2018-19&amp;flag=1&amp;title=Ibaka%201'%20Dunk%20(12%20PTS)%20(Leonard%203%20AST)", "Ibaka 1' Dunk (12 PTS) (Leonard 3 AST)")</f>
        <v>Ibaka 1' Dunk (12 PTS) (Leonard 3 AST)</v>
      </c>
      <c r="L2171" s="2" t="str">
        <f>HYPERLINK("https://www.nba.com/game/...-vs-...-0021800442/play-by-play?watchFullGame=true", "TOR vs DEN - Q3 07:47.00")</f>
        <v>TOR vs DEN - Q3 07:47.00</v>
      </c>
      <c r="M2171">
        <v>1</v>
      </c>
      <c r="N2171">
        <v>0</v>
      </c>
      <c r="O2171">
        <v>6</v>
      </c>
      <c r="P2171">
        <v>0</v>
      </c>
      <c r="Q2171">
        <v>6</v>
      </c>
      <c r="R2171" t="s">
        <v>0</v>
      </c>
      <c r="S2171" t="s">
        <v>0</v>
      </c>
      <c r="T2171" t="s">
        <v>0</v>
      </c>
    </row>
    <row r="2172" spans="1:20" x14ac:dyDescent="0.25">
      <c r="A2172">
        <v>21800459</v>
      </c>
      <c r="B2172" t="s">
        <v>4</v>
      </c>
      <c r="C2172" t="s">
        <v>29</v>
      </c>
      <c r="D2172">
        <v>83</v>
      </c>
      <c r="E2172">
        <v>88</v>
      </c>
      <c r="F2172">
        <v>5</v>
      </c>
      <c r="G2172">
        <v>4</v>
      </c>
      <c r="H2172" s="1">
        <v>5.4050925925925924E-3</v>
      </c>
      <c r="I2172">
        <v>2018</v>
      </c>
      <c r="J2172" t="s">
        <v>1</v>
      </c>
      <c r="K2172" s="2" t="str">
        <f>HYPERLINK("https://www.nba.com/stats/events?CFID=&amp;CFPARAMS=&amp;GameEventID=573&amp;GameID=0021800459&amp;Season=2018-19&amp;flag=1&amp;title=Green%209'%20Driving%20Floating%20Jump%20Shot%20(5%20PTS)%20(Leonard%206%20AST)", "Green 9' Driving Floating Jump Shot (5 PTS) (Leonard 6 AST)")</f>
        <v>Green 9' Driving Floating Jump Shot (5 PTS) (Leonard 6 AST)</v>
      </c>
      <c r="L2172" s="2" t="str">
        <f>HYPERLINK("https://www.nba.com/game/...-vs-...-0021800459/play-by-play?watchFullGame=true", "TOR vs IND - Q4 07:47.00")</f>
        <v>TOR vs IND - Q4 07:47.00</v>
      </c>
      <c r="M2172">
        <v>9</v>
      </c>
      <c r="N2172">
        <v>45</v>
      </c>
      <c r="O2172">
        <v>74</v>
      </c>
      <c r="P2172">
        <v>45</v>
      </c>
      <c r="Q2172">
        <v>74</v>
      </c>
      <c r="R2172" t="s">
        <v>0</v>
      </c>
      <c r="S2172" t="s">
        <v>0</v>
      </c>
      <c r="T2172" t="s">
        <v>0</v>
      </c>
    </row>
    <row r="2173" spans="1:20" x14ac:dyDescent="0.25">
      <c r="A2173">
        <v>21800582</v>
      </c>
      <c r="B2173" t="s">
        <v>4</v>
      </c>
      <c r="C2173" t="s">
        <v>18</v>
      </c>
      <c r="D2173">
        <v>36</v>
      </c>
      <c r="E2173">
        <v>36</v>
      </c>
      <c r="F2173">
        <v>0</v>
      </c>
      <c r="G2173">
        <v>2</v>
      </c>
      <c r="H2173" s="1">
        <v>5.3935185185185188E-3</v>
      </c>
      <c r="I2173">
        <v>2018</v>
      </c>
      <c r="J2173" t="s">
        <v>12</v>
      </c>
      <c r="K2173" s="2" t="str">
        <f>HYPERLINK("https://www.nba.com/stats/events?CFID=&amp;CFPARAMS=&amp;GameEventID=193&amp;GameID=0021800582&amp;Season=2018-19&amp;flag=1&amp;title=Collins%202'%20Hook%20Shot%20(7%20PTS)%20(Leonard%202%20AST)", "Collins 2' Hook Shot (7 PTS) (Leonard 2 AST)")</f>
        <v>Collins 2' Hook Shot (7 PTS) (Leonard 2 AST)</v>
      </c>
      <c r="L2173" s="2" t="str">
        <f>HYPERLINK("https://www.nba.com/game/...-vs-...-0021800582/play-by-play?watchFullGame=true", "POR vs HOU - Q2 07:46.00")</f>
        <v>POR vs HOU - Q2 07:46.00</v>
      </c>
      <c r="M2173">
        <v>2</v>
      </c>
      <c r="N2173">
        <v>14</v>
      </c>
      <c r="O2173">
        <v>11</v>
      </c>
      <c r="P2173">
        <v>14</v>
      </c>
      <c r="Q2173">
        <v>11</v>
      </c>
      <c r="R2173" t="s">
        <v>0</v>
      </c>
      <c r="S2173" t="s">
        <v>0</v>
      </c>
      <c r="T2173" t="s">
        <v>0</v>
      </c>
    </row>
    <row r="2174" spans="1:20" x14ac:dyDescent="0.25">
      <c r="A2174">
        <v>21800739</v>
      </c>
      <c r="B2174" t="s">
        <v>10</v>
      </c>
      <c r="C2174" t="s">
        <v>9</v>
      </c>
      <c r="D2174">
        <v>12</v>
      </c>
      <c r="E2174">
        <v>7</v>
      </c>
      <c r="F2174">
        <v>5</v>
      </c>
      <c r="G2174">
        <v>1</v>
      </c>
      <c r="H2174" s="1">
        <v>5.8796296296296296E-3</v>
      </c>
      <c r="I2174">
        <v>2018</v>
      </c>
      <c r="J2174" t="s">
        <v>1</v>
      </c>
      <c r="K2174" s="2" t="str">
        <f>HYPERLINK("https://www.nba.com/stats/events?CFID=&amp;CFPARAMS=&amp;GameEventID=39&amp;GameID=0021800739&amp;Season=2018-19&amp;flag=1&amp;title=Siakam%203PT%20Jump%20Shot%20(5%20PTS)%20(Leonard%201%20AST)", "Siakam 3PT Jump Shot (5 PTS) (Leonard 1 AST)")</f>
        <v>Siakam 3PT Jump Shot (5 PTS) (Leonard 1 AST)</v>
      </c>
      <c r="L2174" s="2" t="str">
        <f>HYPERLINK("https://www.nba.com/game/...-vs-...-0021800739/play-by-play?watchFullGame=true", "TOR vs DAL - Q1 08:28.00")</f>
        <v>TOR vs DAL - Q1 08:28.00</v>
      </c>
      <c r="M2174">
        <v>0</v>
      </c>
      <c r="N2174">
        <v>229</v>
      </c>
      <c r="O2174">
        <v>-4</v>
      </c>
      <c r="P2174">
        <v>229</v>
      </c>
      <c r="Q2174">
        <v>-4</v>
      </c>
      <c r="R2174" t="s">
        <v>0</v>
      </c>
      <c r="S2174" t="s">
        <v>0</v>
      </c>
      <c r="T2174" t="s">
        <v>0</v>
      </c>
    </row>
    <row r="2175" spans="1:20" x14ac:dyDescent="0.25">
      <c r="A2175">
        <v>21800842</v>
      </c>
      <c r="B2175" t="s">
        <v>4</v>
      </c>
      <c r="C2175" t="s">
        <v>22</v>
      </c>
      <c r="D2175">
        <v>114</v>
      </c>
      <c r="E2175">
        <v>109</v>
      </c>
      <c r="F2175">
        <v>5</v>
      </c>
      <c r="G2175">
        <v>4</v>
      </c>
      <c r="H2175" s="1">
        <v>2.9629629629629628E-3</v>
      </c>
      <c r="I2175">
        <v>2018</v>
      </c>
      <c r="J2175" t="s">
        <v>1</v>
      </c>
      <c r="K2175" s="2" t="str">
        <f>HYPERLINK("https://www.nba.com/stats/events?CFID=&amp;CFPARAMS=&amp;GameEventID=564&amp;GameID=0021800842&amp;Season=2018-19&amp;flag=1&amp;title=Siakam%2010'%20Jump%20Bank%20Shot%20(17%20PTS)%20(Leonard%206%20AST)", "Siakam 10' Jump Bank Shot (17 PTS) (Leonard 6 AST)")</f>
        <v>Siakam 10' Jump Bank Shot (17 PTS) (Leonard 6 AST)</v>
      </c>
      <c r="L2175" s="2" t="str">
        <f>HYPERLINK("https://www.nba.com/game/...-vs-...-0021800842/play-by-play?watchFullGame=true", "TOR vs BKN - Q4 04:16.00")</f>
        <v>TOR vs BKN - Q4 04:16.00</v>
      </c>
      <c r="M2175">
        <v>10</v>
      </c>
      <c r="N2175">
        <v>-1</v>
      </c>
      <c r="O2175">
        <v>102</v>
      </c>
      <c r="P2175">
        <v>-1</v>
      </c>
      <c r="Q2175">
        <v>102</v>
      </c>
      <c r="R2175" t="s">
        <v>0</v>
      </c>
      <c r="S2175" t="s">
        <v>0</v>
      </c>
      <c r="T2175" t="s">
        <v>0</v>
      </c>
    </row>
    <row r="2176" spans="1:20" x14ac:dyDescent="0.25">
      <c r="A2176">
        <v>21800909</v>
      </c>
      <c r="B2176" t="s">
        <v>10</v>
      </c>
      <c r="C2176" t="s">
        <v>9</v>
      </c>
      <c r="D2176">
        <v>20</v>
      </c>
      <c r="E2176">
        <v>19</v>
      </c>
      <c r="F2176">
        <v>1</v>
      </c>
      <c r="G2176">
        <v>1</v>
      </c>
      <c r="H2176" s="1">
        <v>2.5462962962962965E-3</v>
      </c>
      <c r="I2176">
        <v>2018</v>
      </c>
      <c r="J2176" t="s">
        <v>1</v>
      </c>
      <c r="K2176" s="2" t="str">
        <f>HYPERLINK("https://www.nba.com/stats/events?CFID=&amp;CFPARAMS=&amp;GameEventID=105&amp;GameID=0021800909&amp;Season=2018-19&amp;flag=1&amp;title=Siakam%2024'%203PT%20Jump%20Shot%20(11%20PTS)%20(Leonard%202%20AST)", "Siakam 24' 3PT Jump Shot (11 PTS) (Leonard 2 AST)")</f>
        <v>Siakam 24' 3PT Jump Shot (11 PTS) (Leonard 2 AST)</v>
      </c>
      <c r="L2176" s="2" t="str">
        <f>HYPERLINK("https://www.nba.com/game/...-vs-...-0021800909/play-by-play?watchFullGame=true", "TOR vs BOS - Q1 03:40.00")</f>
        <v>TOR vs BOS - Q1 03:40.00</v>
      </c>
      <c r="M2176">
        <v>24</v>
      </c>
      <c r="N2176">
        <v>-236</v>
      </c>
      <c r="O2176">
        <v>-7</v>
      </c>
      <c r="P2176">
        <v>-236</v>
      </c>
      <c r="Q2176">
        <v>-7</v>
      </c>
      <c r="R2176" t="s">
        <v>0</v>
      </c>
      <c r="S2176" t="s">
        <v>0</v>
      </c>
      <c r="T2176" t="s">
        <v>0</v>
      </c>
    </row>
    <row r="2177" spans="1:20" x14ac:dyDescent="0.25">
      <c r="A2177">
        <v>21800216</v>
      </c>
      <c r="B2177" t="s">
        <v>4</v>
      </c>
      <c r="C2177" t="s">
        <v>28</v>
      </c>
      <c r="D2177">
        <v>5</v>
      </c>
      <c r="E2177">
        <v>2</v>
      </c>
      <c r="F2177">
        <v>3</v>
      </c>
      <c r="G2177">
        <v>1</v>
      </c>
      <c r="H2177" s="1">
        <v>7.4189814814814813E-3</v>
      </c>
      <c r="I2177">
        <v>2018</v>
      </c>
      <c r="J2177" t="s">
        <v>1</v>
      </c>
      <c r="K2177" s="2" t="str">
        <f>HYPERLINK("https://www.nba.com/stats/events?CFID=&amp;CFPARAMS=&amp;GameEventID=19&amp;GameID=0021800216&amp;Season=2018-19&amp;flag=1&amp;title=Siakam%203'%20Driving%20Finger%20Roll%20Layup%20(2%20PTS)%20(Leonard%201%20AST)", "Siakam 3' Driving Finger Roll Layup (2 PTS) (Leonard 1 AST)")</f>
        <v>Siakam 3' Driving Finger Roll Layup (2 PTS) (Leonard 1 AST)</v>
      </c>
      <c r="L2177" s="2" t="str">
        <f>HYPERLINK("https://www.nba.com/game/...-vs-...-0021800216/play-by-play?watchFullGame=true", "TOR vs BOS - Q1 10:41.00")</f>
        <v>TOR vs BOS - Q1 10:41.00</v>
      </c>
      <c r="M2177">
        <v>3</v>
      </c>
      <c r="N2177">
        <v>27</v>
      </c>
      <c r="O2177">
        <v>20</v>
      </c>
      <c r="P2177">
        <v>27</v>
      </c>
      <c r="Q2177">
        <v>20</v>
      </c>
      <c r="R2177" t="s">
        <v>0</v>
      </c>
      <c r="S2177" t="s">
        <v>0</v>
      </c>
      <c r="T2177" t="s">
        <v>0</v>
      </c>
    </row>
    <row r="2178" spans="1:20" x14ac:dyDescent="0.25">
      <c r="A2178">
        <v>21800582</v>
      </c>
      <c r="B2178" t="s">
        <v>10</v>
      </c>
      <c r="C2178" t="s">
        <v>9</v>
      </c>
      <c r="D2178">
        <v>25</v>
      </c>
      <c r="E2178">
        <v>20</v>
      </c>
      <c r="F2178">
        <v>5</v>
      </c>
      <c r="G2178">
        <v>1</v>
      </c>
      <c r="H2178" s="1">
        <v>1.4120370370370369E-3</v>
      </c>
      <c r="I2178">
        <v>2018</v>
      </c>
      <c r="J2178" t="s">
        <v>12</v>
      </c>
      <c r="K2178" s="2" t="str">
        <f>HYPERLINK("https://www.nba.com/stats/events?CFID=&amp;CFPARAMS=&amp;GameEventID=126&amp;GameID=0021800582&amp;Season=2018-19&amp;flag=1&amp;title=Curry%2026'%203PT%20Jump%20Shot%20(3%20PTS)%20(Leonard%201%20AST)", "Curry 26' 3PT Jump Shot (3 PTS) (Leonard 1 AST)")</f>
        <v>Curry 26' 3PT Jump Shot (3 PTS) (Leonard 1 AST)</v>
      </c>
      <c r="L2178" s="2" t="str">
        <f>HYPERLINK("https://www.nba.com/game/...-vs-...-0021800582/play-by-play?watchFullGame=true", "POR vs HOU - Q1 02:02.00")</f>
        <v>POR vs HOU - Q1 02:02.00</v>
      </c>
      <c r="M2178">
        <v>26</v>
      </c>
      <c r="N2178">
        <v>134</v>
      </c>
      <c r="O2178">
        <v>218</v>
      </c>
      <c r="P2178">
        <v>134</v>
      </c>
      <c r="Q2178">
        <v>218</v>
      </c>
      <c r="R2178" t="s">
        <v>0</v>
      </c>
      <c r="S2178" t="s">
        <v>0</v>
      </c>
      <c r="T2178" t="s">
        <v>0</v>
      </c>
    </row>
    <row r="2179" spans="1:20" x14ac:dyDescent="0.25">
      <c r="A2179">
        <v>21800639</v>
      </c>
      <c r="B2179" t="s">
        <v>4</v>
      </c>
      <c r="C2179" t="s">
        <v>6</v>
      </c>
      <c r="D2179">
        <v>57</v>
      </c>
      <c r="E2179">
        <v>43</v>
      </c>
      <c r="F2179">
        <v>14</v>
      </c>
      <c r="G2179">
        <v>2</v>
      </c>
      <c r="H2179" s="1">
        <v>1.8171296296296297E-3</v>
      </c>
      <c r="I2179">
        <v>2018</v>
      </c>
      <c r="J2179" t="s">
        <v>1</v>
      </c>
      <c r="K2179" s="2" t="str">
        <f>HYPERLINK("https://www.nba.com/stats/events?CFID=&amp;CFPARAMS=&amp;GameEventID=307&amp;GameID=0021800639&amp;Season=2018-19&amp;flag=1&amp;title=Siakam%202'%20Cutting%20Dunk%20Shot%20(14%20PTS)%20(Leonard%203%20AST)", "Siakam 2' Cutting Dunk Shot (14 PTS) (Leonard 3 AST)")</f>
        <v>Siakam 2' Cutting Dunk Shot (14 PTS) (Leonard 3 AST)</v>
      </c>
      <c r="L2179" s="2" t="str">
        <f>HYPERLINK("https://www.nba.com/game/...-vs-...-0021800639/play-by-play?watchFullGame=true", "TOR vs WAS - Q2 02:37.00")</f>
        <v>TOR vs WAS - Q2 02:37.00</v>
      </c>
      <c r="M2179">
        <v>2</v>
      </c>
      <c r="N2179">
        <v>-14</v>
      </c>
      <c r="O2179">
        <v>11</v>
      </c>
      <c r="P2179">
        <v>-14</v>
      </c>
      <c r="Q2179">
        <v>11</v>
      </c>
      <c r="R2179" t="s">
        <v>0</v>
      </c>
      <c r="S2179" t="s">
        <v>0</v>
      </c>
      <c r="T2179" t="s">
        <v>0</v>
      </c>
    </row>
    <row r="2180" spans="1:20" x14ac:dyDescent="0.25">
      <c r="A2180">
        <v>21800639</v>
      </c>
      <c r="B2180" t="s">
        <v>4</v>
      </c>
      <c r="C2180" t="s">
        <v>20</v>
      </c>
      <c r="D2180">
        <v>81</v>
      </c>
      <c r="E2180">
        <v>65</v>
      </c>
      <c r="F2180">
        <v>16</v>
      </c>
      <c r="G2180">
        <v>3</v>
      </c>
      <c r="H2180" s="1">
        <v>3.7962962962962963E-3</v>
      </c>
      <c r="I2180">
        <v>2018</v>
      </c>
      <c r="J2180" t="s">
        <v>1</v>
      </c>
      <c r="K2180" s="2" t="str">
        <f>HYPERLINK("https://www.nba.com/stats/events?CFID=&amp;CFPARAMS=&amp;GameEventID=435&amp;GameID=0021800639&amp;Season=2018-19&amp;flag=1&amp;title=Siakam%202'%20Cutting%20Layup%20Shot%20(22%20PTS)%20(Leonard%204%20AST)", "Siakam 2' Cutting Layup Shot (22 PTS) (Leonard 4 AST)")</f>
        <v>Siakam 2' Cutting Layup Shot (22 PTS) (Leonard 4 AST)</v>
      </c>
      <c r="L2180" s="2" t="str">
        <f>HYPERLINK("https://www.nba.com/game/...-vs-...-0021800639/play-by-play?watchFullGame=true", "TOR vs WAS - Q3 05:28.00")</f>
        <v>TOR vs WAS - Q3 05:28.00</v>
      </c>
      <c r="M2180">
        <v>2</v>
      </c>
      <c r="N2180">
        <v>5</v>
      </c>
      <c r="O2180">
        <v>16</v>
      </c>
      <c r="P2180">
        <v>5</v>
      </c>
      <c r="Q2180">
        <v>16</v>
      </c>
      <c r="R2180" t="s">
        <v>0</v>
      </c>
      <c r="S2180" t="s">
        <v>0</v>
      </c>
      <c r="T2180" t="s">
        <v>0</v>
      </c>
    </row>
    <row r="2181" spans="1:20" x14ac:dyDescent="0.25">
      <c r="A2181">
        <v>21800763</v>
      </c>
      <c r="B2181" t="s">
        <v>4</v>
      </c>
      <c r="C2181" t="s">
        <v>33</v>
      </c>
      <c r="D2181">
        <v>12</v>
      </c>
      <c r="E2181">
        <v>13</v>
      </c>
      <c r="F2181">
        <v>1</v>
      </c>
      <c r="G2181">
        <v>1</v>
      </c>
      <c r="H2181" s="1">
        <v>5.6828703703703702E-3</v>
      </c>
      <c r="I2181">
        <v>2018</v>
      </c>
      <c r="J2181" t="s">
        <v>12</v>
      </c>
      <c r="K2181" s="2" t="str">
        <f>HYPERLINK("https://www.nba.com/stats/events?CFID=&amp;CFPARAMS=&amp;GameEventID=38&amp;GameID=0021800763&amp;Season=2018-19&amp;flag=1&amp;title=McCollum%207'%20Driving%20Floating%20Bank%20Jump%20Shot%20(6%20PTS)%20(Leonard%201%20AST)", "McCollum 7' Driving Floating Bank Jump Shot (6 PTS) (Leonard 1 AST)")</f>
        <v>McCollum 7' Driving Floating Bank Jump Shot (6 PTS) (Leonard 1 AST)</v>
      </c>
      <c r="L2181" s="2" t="str">
        <f>HYPERLINK("https://www.nba.com/game/...-vs-...-0021800763/play-by-play?watchFullGame=true", "POR vs UTA - Q1 08:11.00")</f>
        <v>POR vs UTA - Q1 08:11.00</v>
      </c>
      <c r="M2181">
        <v>7</v>
      </c>
      <c r="N2181">
        <v>-64</v>
      </c>
      <c r="O2181">
        <v>32</v>
      </c>
      <c r="P2181">
        <v>-64</v>
      </c>
      <c r="Q2181">
        <v>32</v>
      </c>
      <c r="R2181" t="s">
        <v>0</v>
      </c>
      <c r="S2181" t="s">
        <v>0</v>
      </c>
      <c r="T2181" t="s">
        <v>0</v>
      </c>
    </row>
    <row r="2182" spans="1:20" x14ac:dyDescent="0.25">
      <c r="A2182">
        <v>21800842</v>
      </c>
      <c r="B2182" t="s">
        <v>4</v>
      </c>
      <c r="C2182" t="s">
        <v>20</v>
      </c>
      <c r="D2182">
        <v>70</v>
      </c>
      <c r="E2182">
        <v>71</v>
      </c>
      <c r="F2182">
        <v>1</v>
      </c>
      <c r="G2182">
        <v>3</v>
      </c>
      <c r="H2182" s="1">
        <v>5.4282407407407404E-3</v>
      </c>
      <c r="I2182">
        <v>2018</v>
      </c>
      <c r="J2182" t="s">
        <v>1</v>
      </c>
      <c r="K2182" s="2" t="str">
        <f>HYPERLINK("https://www.nba.com/stats/events?CFID=&amp;CFPARAMS=&amp;GameEventID=345&amp;GameID=0021800842&amp;Season=2018-19&amp;flag=1&amp;title=Siakam%203'%20Cutting%20Layup%20Shot%20(11%20PTS)%20(Leonard%205%20AST)", "Siakam 3' Cutting Layup Shot (11 PTS) (Leonard 5 AST)")</f>
        <v>Siakam 3' Cutting Layup Shot (11 PTS) (Leonard 5 AST)</v>
      </c>
      <c r="L2182" s="2" t="str">
        <f>HYPERLINK("https://www.nba.com/game/...-vs-...-0021800842/play-by-play?watchFullGame=true", "TOR vs BKN - Q3 07:49.00")</f>
        <v>TOR vs BKN - Q3 07:49.00</v>
      </c>
      <c r="M2182">
        <v>3</v>
      </c>
      <c r="N2182">
        <v>30</v>
      </c>
      <c r="O2182">
        <v>18</v>
      </c>
      <c r="P2182">
        <v>30</v>
      </c>
      <c r="Q2182">
        <v>18</v>
      </c>
      <c r="R2182" t="s">
        <v>0</v>
      </c>
      <c r="S2182" t="s">
        <v>0</v>
      </c>
      <c r="T2182" t="s">
        <v>0</v>
      </c>
    </row>
    <row r="2183" spans="1:20" x14ac:dyDescent="0.25">
      <c r="A2183">
        <v>21800842</v>
      </c>
      <c r="B2183" t="s">
        <v>10</v>
      </c>
      <c r="C2183" t="s">
        <v>9</v>
      </c>
      <c r="D2183">
        <v>120</v>
      </c>
      <c r="E2183">
        <v>114</v>
      </c>
      <c r="F2183">
        <v>6</v>
      </c>
      <c r="G2183">
        <v>4</v>
      </c>
      <c r="H2183" s="1">
        <v>1.9097222222222222E-3</v>
      </c>
      <c r="I2183">
        <v>2018</v>
      </c>
      <c r="J2183" t="s">
        <v>1</v>
      </c>
      <c r="K2183" s="2" t="str">
        <f>HYPERLINK("https://www.nba.com/stats/events?CFID=&amp;CFPARAMS=&amp;GameEventID=587&amp;GameID=0021800842&amp;Season=2018-19&amp;flag=1&amp;title=Lowry%2026'%203PT%20Jump%20Shot%20(13%20PTS)%20(Leonard%207%20AST)", "Lowry 26' 3PT Jump Shot (13 PTS) (Leonard 7 AST)")</f>
        <v>Lowry 26' 3PT Jump Shot (13 PTS) (Leonard 7 AST)</v>
      </c>
      <c r="L2183" s="2" t="str">
        <f>HYPERLINK("https://www.nba.com/game/...-vs-...-0021800842/play-by-play?watchFullGame=true", "TOR vs BKN - Q4 02:45.00")</f>
        <v>TOR vs BKN - Q4 02:45.00</v>
      </c>
      <c r="M2183">
        <v>26</v>
      </c>
      <c r="N2183">
        <v>114</v>
      </c>
      <c r="O2183">
        <v>233</v>
      </c>
      <c r="P2183">
        <v>114</v>
      </c>
      <c r="Q2183">
        <v>233</v>
      </c>
      <c r="R2183" t="s">
        <v>0</v>
      </c>
      <c r="S2183" t="s">
        <v>0</v>
      </c>
      <c r="T2183" t="s">
        <v>0</v>
      </c>
    </row>
    <row r="2184" spans="1:20" x14ac:dyDescent="0.25">
      <c r="A2184">
        <v>21801023</v>
      </c>
      <c r="B2184" t="s">
        <v>10</v>
      </c>
      <c r="C2184" t="s">
        <v>9</v>
      </c>
      <c r="D2184">
        <v>42</v>
      </c>
      <c r="E2184">
        <v>39</v>
      </c>
      <c r="F2184">
        <v>3</v>
      </c>
      <c r="G2184">
        <v>2</v>
      </c>
      <c r="H2184" s="1">
        <v>4.5023148148148149E-3</v>
      </c>
      <c r="I2184">
        <v>2018</v>
      </c>
      <c r="J2184" t="s">
        <v>1</v>
      </c>
      <c r="K2184" s="2" t="str">
        <f>HYPERLINK("https://www.nba.com/stats/events?CFID=&amp;CFPARAMS=&amp;GameEventID=250&amp;GameID=0021801023&amp;Season=2018-19&amp;flag=1&amp;title=McCaw%203PT%20Jump%20Shot%20(4%20PTS)%20(Leonard%202%20AST)", "McCaw 3PT Jump Shot (4 PTS) (Leonard 2 AST)")</f>
        <v>McCaw 3PT Jump Shot (4 PTS) (Leonard 2 AST)</v>
      </c>
      <c r="L2184" s="2" t="str">
        <f>HYPERLINK("https://www.nba.com/game/...-vs-...-0021801023/play-by-play?watchFullGame=true", "TOR vs LAL - Q2 06:29.00")</f>
        <v>TOR vs LAL - Q2 06:29.00</v>
      </c>
      <c r="M2184">
        <v>0</v>
      </c>
      <c r="N2184">
        <v>-230</v>
      </c>
      <c r="O2184">
        <v>-6</v>
      </c>
      <c r="P2184">
        <v>-230</v>
      </c>
      <c r="Q2184">
        <v>-6</v>
      </c>
      <c r="R2184" t="s">
        <v>0</v>
      </c>
      <c r="S2184" t="s">
        <v>0</v>
      </c>
      <c r="T2184" t="s">
        <v>0</v>
      </c>
    </row>
    <row r="2185" spans="1:20" x14ac:dyDescent="0.25">
      <c r="A2185">
        <v>21700502</v>
      </c>
      <c r="B2185" t="s">
        <v>10</v>
      </c>
      <c r="C2185" t="s">
        <v>9</v>
      </c>
      <c r="D2185">
        <v>63</v>
      </c>
      <c r="E2185">
        <v>54</v>
      </c>
      <c r="F2185">
        <v>9</v>
      </c>
      <c r="G2185">
        <v>3</v>
      </c>
      <c r="H2185" s="1">
        <v>4.4907407407407405E-3</v>
      </c>
      <c r="I2185">
        <v>2017</v>
      </c>
      <c r="J2185" t="s">
        <v>7</v>
      </c>
      <c r="K2185" s="2" t="str">
        <f>HYPERLINK("https://www.nba.com/stats/events?CFID=&amp;CFPARAMS=&amp;GameEventID=397&amp;GameID=0021700502&amp;Season=2017-18&amp;flag=1&amp;title=Gasol%203PT%20Jump%20Shot%20(11%20PTS)%20(Leonard%202%20AST)", "Gasol 3PT Jump Shot (11 PTS) (Leonard 2 AST)")</f>
        <v>Gasol 3PT Jump Shot (11 PTS) (Leonard 2 AST)</v>
      </c>
      <c r="L2185" s="2" t="str">
        <f>HYPERLINK("https://www.nba.com/game/...-vs-...-0021700502/play-by-play?watchFullGame=true", "SAS vs BKN - Q3 06:28.00")</f>
        <v>SAS vs BKN - Q3 06:28.00</v>
      </c>
      <c r="M2185">
        <v>0</v>
      </c>
      <c r="N2185">
        <v>-229</v>
      </c>
      <c r="O2185">
        <v>11</v>
      </c>
      <c r="P2185">
        <v>-229</v>
      </c>
      <c r="Q2185">
        <v>11</v>
      </c>
      <c r="R2185" t="s">
        <v>0</v>
      </c>
      <c r="S2185" t="s">
        <v>0</v>
      </c>
      <c r="T2185" t="s">
        <v>0</v>
      </c>
    </row>
    <row r="2186" spans="1:20" x14ac:dyDescent="0.25">
      <c r="A2186">
        <v>21800069</v>
      </c>
      <c r="B2186" t="s">
        <v>4</v>
      </c>
      <c r="C2186" t="s">
        <v>29</v>
      </c>
      <c r="D2186">
        <v>69</v>
      </c>
      <c r="E2186">
        <v>57</v>
      </c>
      <c r="F2186">
        <v>12</v>
      </c>
      <c r="G2186">
        <v>2</v>
      </c>
      <c r="H2186" s="1">
        <v>6.4814814814814816E-5</v>
      </c>
      <c r="I2186">
        <v>2018</v>
      </c>
      <c r="J2186" t="s">
        <v>1</v>
      </c>
      <c r="K2186" s="2" t="str">
        <f>HYPERLINK("https://www.nba.com/stats/events?CFID=&amp;CFPARAMS=&amp;GameEventID=330&amp;GameID=0021800069&amp;Season=2018-19&amp;flag=1&amp;title=Lowry%202'%20Driving%20Floating%20Jump%20Shot%20(11%20PTS)%20(Leonard%204%20AST)", "Lowry 2' Driving Floating Jump Shot (11 PTS) (Leonard 4 AST)")</f>
        <v>Lowry 2' Driving Floating Jump Shot (11 PTS) (Leonard 4 AST)</v>
      </c>
      <c r="L2186" s="2" t="str">
        <f>HYPERLINK("https://www.nba.com/game/...-vs-...-0021800069/play-by-play?watchFullGame=true", "TOR vs DAL - Q2 00:05.60")</f>
        <v>TOR vs DAL - Q2 00:05.60</v>
      </c>
      <c r="M2186">
        <v>2</v>
      </c>
      <c r="N2186">
        <v>-8</v>
      </c>
      <c r="O2186">
        <v>23</v>
      </c>
      <c r="P2186">
        <v>-8</v>
      </c>
      <c r="Q2186">
        <v>23</v>
      </c>
      <c r="R2186" t="s">
        <v>0</v>
      </c>
      <c r="S2186" t="s">
        <v>0</v>
      </c>
      <c r="T2186" t="s">
        <v>0</v>
      </c>
    </row>
    <row r="2187" spans="1:20" x14ac:dyDescent="0.25">
      <c r="A2187">
        <v>21800123</v>
      </c>
      <c r="B2187" t="s">
        <v>4</v>
      </c>
      <c r="C2187" t="s">
        <v>20</v>
      </c>
      <c r="D2187">
        <v>43</v>
      </c>
      <c r="E2187">
        <v>45</v>
      </c>
      <c r="F2187">
        <v>2</v>
      </c>
      <c r="G2187">
        <v>2</v>
      </c>
      <c r="H2187" s="1">
        <v>1.7592592592592592E-3</v>
      </c>
      <c r="I2187">
        <v>2018</v>
      </c>
      <c r="J2187" t="s">
        <v>1</v>
      </c>
      <c r="K2187" s="2" t="str">
        <f>HYPERLINK("https://www.nba.com/stats/events?CFID=&amp;CFPARAMS=&amp;GameEventID=301&amp;GameID=0021800123&amp;Season=2018-19&amp;flag=1&amp;title=Lowry%202'%20Cutting%20Layup%20Shot%20(6%20PTS)%20(Leonard%202%20AST)", "Lowry 2' Cutting Layup Shot (6 PTS) (Leonard 2 AST)")</f>
        <v>Lowry 2' Cutting Layup Shot (6 PTS) (Leonard 2 AST)</v>
      </c>
      <c r="L2187" s="2" t="str">
        <f>HYPERLINK("https://www.nba.com/game/...-vs-...-0021800123/play-by-play?watchFullGame=true", "TOR vs PHX - Q2 02:32.00")</f>
        <v>TOR vs PHX - Q2 02:32.00</v>
      </c>
      <c r="M2187">
        <v>2</v>
      </c>
      <c r="N2187">
        <v>-16</v>
      </c>
      <c r="O2187">
        <v>3</v>
      </c>
      <c r="P2187">
        <v>-16</v>
      </c>
      <c r="Q2187">
        <v>3</v>
      </c>
      <c r="R2187" t="s">
        <v>0</v>
      </c>
      <c r="S2187" t="s">
        <v>0</v>
      </c>
      <c r="T2187" t="s">
        <v>0</v>
      </c>
    </row>
    <row r="2188" spans="1:20" x14ac:dyDescent="0.25">
      <c r="A2188">
        <v>21800216</v>
      </c>
      <c r="B2188" t="s">
        <v>4</v>
      </c>
      <c r="C2188" t="s">
        <v>9</v>
      </c>
      <c r="D2188">
        <v>52</v>
      </c>
      <c r="E2188">
        <v>51</v>
      </c>
      <c r="F2188">
        <v>1</v>
      </c>
      <c r="G2188">
        <v>2</v>
      </c>
      <c r="H2188" s="1">
        <v>1.0416666666666667E-3</v>
      </c>
      <c r="I2188">
        <v>2018</v>
      </c>
      <c r="J2188" t="s">
        <v>1</v>
      </c>
      <c r="K2188" s="2" t="str">
        <f>HYPERLINK("https://www.nba.com/stats/events?CFID=&amp;CFPARAMS=&amp;GameEventID=304&amp;GameID=0021800216&amp;Season=2018-19&amp;flag=1&amp;title=Ibaka%2020'%20Jump%20Shot%20(10%20PTS)%20(Leonard%203%20AST)", "Ibaka 20' Jump Shot (10 PTS) (Leonard 3 AST)")</f>
        <v>Ibaka 20' Jump Shot (10 PTS) (Leonard 3 AST)</v>
      </c>
      <c r="L2188" s="2" t="str">
        <f>HYPERLINK("https://www.nba.com/game/...-vs-...-0021800216/play-by-play?watchFullGame=true", "TOR vs BOS - Q2 01:30.00")</f>
        <v>TOR vs BOS - Q2 01:30.00</v>
      </c>
      <c r="M2188">
        <v>20</v>
      </c>
      <c r="N2188">
        <v>65</v>
      </c>
      <c r="O2188">
        <v>194</v>
      </c>
      <c r="P2188">
        <v>65</v>
      </c>
      <c r="Q2188">
        <v>194</v>
      </c>
      <c r="R2188" t="s">
        <v>0</v>
      </c>
      <c r="S2188" t="s">
        <v>0</v>
      </c>
      <c r="T2188" t="s">
        <v>0</v>
      </c>
    </row>
    <row r="2189" spans="1:20" x14ac:dyDescent="0.25">
      <c r="A2189">
        <v>21800316</v>
      </c>
      <c r="B2189" t="s">
        <v>10</v>
      </c>
      <c r="C2189" t="s">
        <v>9</v>
      </c>
      <c r="D2189">
        <v>114</v>
      </c>
      <c r="E2189">
        <v>104</v>
      </c>
      <c r="F2189">
        <v>10</v>
      </c>
      <c r="G2189">
        <v>4</v>
      </c>
      <c r="H2189" s="1">
        <v>3.2754629629629631E-3</v>
      </c>
      <c r="I2189">
        <v>2018</v>
      </c>
      <c r="J2189" t="s">
        <v>1</v>
      </c>
      <c r="K2189" s="2" t="str">
        <f>HYPERLINK("https://www.nba.com/stats/events?CFID=&amp;CFPARAMS=&amp;GameEventID=590&amp;GameID=0021800316&amp;Season=2018-19&amp;flag=1&amp;title=Green%2025'%203PT%20Jump%20Shot%20(10%20PTS)%20(Leonard%203%20AST)", "Green 25' 3PT Jump Shot (10 PTS) (Leonard 3 AST)")</f>
        <v>Green 25' 3PT Jump Shot (10 PTS) (Leonard 3 AST)</v>
      </c>
      <c r="L2189" s="2" t="str">
        <f>HYPERLINK("https://www.nba.com/game/...-vs-...-0021800316/play-by-play?watchFullGame=true", "TOR vs GSW - Q4 04:43.00")</f>
        <v>TOR vs GSW - Q4 04:43.00</v>
      </c>
      <c r="M2189">
        <v>25</v>
      </c>
      <c r="N2189">
        <v>186</v>
      </c>
      <c r="O2189">
        <v>171</v>
      </c>
      <c r="P2189">
        <v>186</v>
      </c>
      <c r="Q2189">
        <v>171</v>
      </c>
      <c r="R2189" t="s">
        <v>0</v>
      </c>
      <c r="S2189" t="s">
        <v>0</v>
      </c>
      <c r="T2189" t="s">
        <v>0</v>
      </c>
    </row>
    <row r="2190" spans="1:20" x14ac:dyDescent="0.25">
      <c r="A2190">
        <v>21800366</v>
      </c>
      <c r="B2190" t="s">
        <v>4</v>
      </c>
      <c r="C2190" t="s">
        <v>16</v>
      </c>
      <c r="D2190">
        <v>99</v>
      </c>
      <c r="E2190">
        <v>68</v>
      </c>
      <c r="F2190">
        <v>31</v>
      </c>
      <c r="G2190">
        <v>4</v>
      </c>
      <c r="H2190" s="1">
        <v>4.7800925925925927E-3</v>
      </c>
      <c r="I2190">
        <v>2018</v>
      </c>
      <c r="J2190" t="s">
        <v>12</v>
      </c>
      <c r="K2190" s="2" t="str">
        <f>HYPERLINK("https://www.nba.com/stats/events?CFID=&amp;CFPARAMS=&amp;GameEventID=562&amp;GameID=0021800366&amp;Season=2018-19&amp;flag=1&amp;title=Layman%202'%20Running%20Dunk%20(24%20PTS)%20(Leonard%203%20AST)", "Layman 2' Running Dunk (24 PTS) (Leonard 3 AST)")</f>
        <v>Layman 2' Running Dunk (24 PTS) (Leonard 3 AST)</v>
      </c>
      <c r="L2190" s="2" t="str">
        <f>HYPERLINK("https://www.nba.com/game/...-vs-...-0021800366/play-by-play?watchFullGame=true", "POR vs PHX - Q4 06:53.00")</f>
        <v>POR vs PHX - Q4 06:53.00</v>
      </c>
      <c r="M2190">
        <v>2</v>
      </c>
      <c r="N2190">
        <v>14</v>
      </c>
      <c r="O2190">
        <v>8</v>
      </c>
      <c r="P2190">
        <v>14</v>
      </c>
      <c r="Q2190">
        <v>8</v>
      </c>
      <c r="R2190" t="s">
        <v>0</v>
      </c>
      <c r="S2190" t="s">
        <v>0</v>
      </c>
      <c r="T2190" t="s">
        <v>0</v>
      </c>
    </row>
    <row r="2191" spans="1:20" x14ac:dyDescent="0.25">
      <c r="A2191">
        <v>21800442</v>
      </c>
      <c r="B2191" t="s">
        <v>10</v>
      </c>
      <c r="C2191" t="s">
        <v>9</v>
      </c>
      <c r="D2191">
        <v>6</v>
      </c>
      <c r="E2191">
        <v>5</v>
      </c>
      <c r="F2191">
        <v>1</v>
      </c>
      <c r="G2191">
        <v>1</v>
      </c>
      <c r="H2191" s="1">
        <v>6.1921296296296299E-3</v>
      </c>
      <c r="I2191">
        <v>2018</v>
      </c>
      <c r="J2191" t="s">
        <v>1</v>
      </c>
      <c r="K2191" s="2" t="str">
        <f>HYPERLINK("https://www.nba.com/stats/events?CFID=&amp;CFPARAMS=&amp;GameEventID=45&amp;GameID=0021800442&amp;Season=2018-19&amp;flag=1&amp;title=Green%203PT%20Jump%20Shot%20(3%20PTS)%20(Leonard%201%20AST)", "Green 3PT Jump Shot (3 PTS) (Leonard 1 AST)")</f>
        <v>Green 3PT Jump Shot (3 PTS) (Leonard 1 AST)</v>
      </c>
      <c r="L2191" s="2" t="str">
        <f>HYPERLINK("https://www.nba.com/game/...-vs-...-0021800442/play-by-play?watchFullGame=true", "TOR vs DEN - Q1 08:55.00")</f>
        <v>TOR vs DEN - Q1 08:55.00</v>
      </c>
      <c r="M2191">
        <v>0</v>
      </c>
      <c r="N2191">
        <v>224</v>
      </c>
      <c r="O2191">
        <v>8</v>
      </c>
      <c r="P2191">
        <v>224</v>
      </c>
      <c r="Q2191">
        <v>8</v>
      </c>
      <c r="R2191" t="s">
        <v>0</v>
      </c>
      <c r="S2191" t="s">
        <v>0</v>
      </c>
      <c r="T2191" t="s">
        <v>0</v>
      </c>
    </row>
    <row r="2192" spans="1:20" x14ac:dyDescent="0.25">
      <c r="A2192">
        <v>21800465</v>
      </c>
      <c r="B2192" t="s">
        <v>4</v>
      </c>
      <c r="C2192" t="s">
        <v>29</v>
      </c>
      <c r="D2192">
        <v>26</v>
      </c>
      <c r="E2192">
        <v>24</v>
      </c>
      <c r="F2192">
        <v>2</v>
      </c>
      <c r="G2192">
        <v>2</v>
      </c>
      <c r="H2192" s="1">
        <v>6.4351851851851853E-3</v>
      </c>
      <c r="I2192">
        <v>2018</v>
      </c>
      <c r="J2192" t="s">
        <v>12</v>
      </c>
      <c r="K2192" s="2" t="str">
        <f>HYPERLINK("https://www.nba.com/stats/events?CFID=&amp;CFPARAMS=&amp;GameEventID=189&amp;GameID=0021800465&amp;Season=2018-19&amp;flag=1&amp;title=Stauskas%204'%20Driving%20Floating%20Jump%20Shot%20(4%20PTS)%20(Leonard%202%20AST)", "Stauskas 4' Driving Floating Jump Shot (4 PTS) (Leonard 2 AST)")</f>
        <v>Stauskas 4' Driving Floating Jump Shot (4 PTS) (Leonard 2 AST)</v>
      </c>
      <c r="L2192" s="2" t="str">
        <f>HYPERLINK("https://www.nba.com/game/...-vs-...-0021800465/play-by-play?watchFullGame=true", "POR vs MEM - Q2 09:16.00")</f>
        <v>POR vs MEM - Q2 09:16.00</v>
      </c>
      <c r="M2192">
        <v>4</v>
      </c>
      <c r="N2192">
        <v>14</v>
      </c>
      <c r="O2192">
        <v>37</v>
      </c>
      <c r="P2192">
        <v>14</v>
      </c>
      <c r="Q2192">
        <v>37</v>
      </c>
      <c r="R2192" t="s">
        <v>0</v>
      </c>
      <c r="S2192" t="s">
        <v>0</v>
      </c>
      <c r="T2192" t="s">
        <v>0</v>
      </c>
    </row>
    <row r="2193" spans="1:20" x14ac:dyDescent="0.25">
      <c r="A2193">
        <v>21600625</v>
      </c>
      <c r="B2193" t="s">
        <v>4</v>
      </c>
      <c r="C2193" t="s">
        <v>5</v>
      </c>
      <c r="D2193">
        <v>73</v>
      </c>
      <c r="E2193">
        <v>73</v>
      </c>
      <c r="F2193">
        <v>0</v>
      </c>
      <c r="G2193">
        <v>3</v>
      </c>
      <c r="H2193" s="1">
        <v>6.5277777777777782E-3</v>
      </c>
      <c r="I2193">
        <v>2016</v>
      </c>
      <c r="J2193" t="s">
        <v>7</v>
      </c>
      <c r="K2193" s="2" t="str">
        <f>HYPERLINK("https://www.nba.com/stats/events?CFID=&amp;CFPARAMS=&amp;GameEventID=331&amp;GameID=0021600625&amp;Season=2016-17&amp;flag=1&amp;title=Aldridge%202'%20Layup%20(19%20PTS)%20(Leonard%203%20AST)", "Aldridge 2' Layup (19 PTS) (Leonard 3 AST)")</f>
        <v>Aldridge 2' Layup (19 PTS) (Leonard 3 AST)</v>
      </c>
      <c r="L2193" s="2" t="str">
        <f>HYPERLINK("https://www.nba.com/game/...-vs-...-0021600625/play-by-play?watchFullGame=true", "SAS vs MIN - Q3 09:24.00")</f>
        <v>SAS vs MIN - Q3 09:24.00</v>
      </c>
      <c r="M2193">
        <v>2</v>
      </c>
      <c r="N2193">
        <v>-14</v>
      </c>
      <c r="O2193">
        <v>8</v>
      </c>
      <c r="P2193">
        <v>-14</v>
      </c>
      <c r="Q2193">
        <v>8</v>
      </c>
      <c r="R2193" t="s">
        <v>0</v>
      </c>
      <c r="S2193" t="s">
        <v>0</v>
      </c>
      <c r="T2193" t="s">
        <v>0</v>
      </c>
    </row>
    <row r="2194" spans="1:20" x14ac:dyDescent="0.25">
      <c r="A2194">
        <v>21600639</v>
      </c>
      <c r="B2194" t="s">
        <v>4</v>
      </c>
      <c r="C2194" t="s">
        <v>17</v>
      </c>
      <c r="D2194">
        <v>108</v>
      </c>
      <c r="E2194">
        <v>96</v>
      </c>
      <c r="F2194">
        <v>12</v>
      </c>
      <c r="G2194">
        <v>4</v>
      </c>
      <c r="H2194" s="1">
        <v>3.0324074074074073E-3</v>
      </c>
      <c r="I2194">
        <v>2016</v>
      </c>
      <c r="J2194" t="s">
        <v>7</v>
      </c>
      <c r="K2194" s="2" t="str">
        <f>HYPERLINK("https://www.nba.com/stats/events?CFID=&amp;CFPARAMS=&amp;GameEventID=498&amp;GameID=0021600639&amp;Season=2016-17&amp;flag=1&amp;title=Murray%209'%20Floating%20Jump%20Shot%20(24%20PTS)%20(Leonard%204%20AST)", "Murray 9' Floating Jump Shot (24 PTS) (Leonard 4 AST)")</f>
        <v>Murray 9' Floating Jump Shot (24 PTS) (Leonard 4 AST)</v>
      </c>
      <c r="L2194" s="2" t="str">
        <f>HYPERLINK("https://www.nba.com/game/...-vs-...-0021600639/play-by-play?watchFullGame=true", "SAS vs DEN - Q4 04:22.00")</f>
        <v>SAS vs DEN - Q4 04:22.00</v>
      </c>
      <c r="M2194">
        <v>9</v>
      </c>
      <c r="N2194">
        <v>17</v>
      </c>
      <c r="O2194">
        <v>90</v>
      </c>
      <c r="P2194">
        <v>17</v>
      </c>
      <c r="Q2194">
        <v>90</v>
      </c>
      <c r="R2194" t="s">
        <v>0</v>
      </c>
      <c r="S2194" t="s">
        <v>0</v>
      </c>
      <c r="T2194" t="s">
        <v>0</v>
      </c>
    </row>
    <row r="2195" spans="1:20" x14ac:dyDescent="0.25">
      <c r="A2195">
        <v>21600657</v>
      </c>
      <c r="B2195" t="s">
        <v>4</v>
      </c>
      <c r="C2195" t="s">
        <v>6</v>
      </c>
      <c r="D2195">
        <v>8</v>
      </c>
      <c r="E2195">
        <v>14</v>
      </c>
      <c r="F2195">
        <v>6</v>
      </c>
      <c r="G2195">
        <v>1</v>
      </c>
      <c r="H2195" s="1">
        <v>5.0115740740740737E-3</v>
      </c>
      <c r="I2195">
        <v>2016</v>
      </c>
      <c r="J2195" t="s">
        <v>7</v>
      </c>
      <c r="K2195" s="2" t="str">
        <f>HYPERLINK("https://www.nba.com/stats/events?CFID=&amp;CFPARAMS=&amp;GameEventID=41&amp;GameID=0021600657&amp;Season=2016-17&amp;flag=1&amp;title=Lee%20%20Cutting%20Dunk%20Shot%20(4%20PTS)%20(Leonard%201%20AST)", "Lee  Cutting Dunk Shot (4 PTS) (Leonard 1 AST)")</f>
        <v>Lee  Cutting Dunk Shot (4 PTS) (Leonard 1 AST)</v>
      </c>
      <c r="L2195" s="2" t="str">
        <f>HYPERLINK("https://www.nba.com/game/...-vs-...-0021600657/play-by-play?watchFullGame=true", "SAS vs CLE - Q1 07:13.00")</f>
        <v>SAS vs CLE - Q1 07:13.00</v>
      </c>
      <c r="M2195">
        <v>0</v>
      </c>
      <c r="N2195">
        <v>0</v>
      </c>
      <c r="O2195">
        <v>1</v>
      </c>
      <c r="P2195">
        <v>0</v>
      </c>
      <c r="Q2195">
        <v>1</v>
      </c>
      <c r="R2195" t="s">
        <v>0</v>
      </c>
      <c r="S2195" t="s">
        <v>0</v>
      </c>
      <c r="T2195" t="s">
        <v>0</v>
      </c>
    </row>
    <row r="2196" spans="1:20" x14ac:dyDescent="0.25">
      <c r="A2196">
        <v>21600865</v>
      </c>
      <c r="B2196" t="s">
        <v>10</v>
      </c>
      <c r="C2196" t="s">
        <v>9</v>
      </c>
      <c r="D2196">
        <v>32</v>
      </c>
      <c r="E2196">
        <v>35</v>
      </c>
      <c r="F2196">
        <v>3</v>
      </c>
      <c r="G2196">
        <v>2</v>
      </c>
      <c r="H2196" s="1">
        <v>2.8356481481481483E-3</v>
      </c>
      <c r="I2196">
        <v>2016</v>
      </c>
      <c r="J2196" t="s">
        <v>7</v>
      </c>
      <c r="K2196" s="2" t="str">
        <f>HYPERLINK("https://www.nba.com/stats/events?CFID=&amp;CFPARAMS=&amp;GameEventID=198&amp;GameID=0021600865&amp;Season=2016-17&amp;flag=1&amp;title=Green%2024'%203PT%20Jump%20Shot%20(3%20PTS)%20(Leonard%204%20AST)", "Green 24' 3PT Jump Shot (3 PTS) (Leonard 4 AST)")</f>
        <v>Green 24' 3PT Jump Shot (3 PTS) (Leonard 4 AST)</v>
      </c>
      <c r="L2196" s="2" t="str">
        <f>HYPERLINK("https://www.nba.com/game/...-vs-...-0021600865/play-by-play?watchFullGame=true", "SAS vs LAC - Q2 04:05.00")</f>
        <v>SAS vs LAC - Q2 04:05.00</v>
      </c>
      <c r="M2196">
        <v>24</v>
      </c>
      <c r="N2196">
        <v>-11</v>
      </c>
      <c r="O2196">
        <v>242</v>
      </c>
      <c r="P2196">
        <v>-11</v>
      </c>
      <c r="Q2196">
        <v>242</v>
      </c>
      <c r="R2196" t="s">
        <v>0</v>
      </c>
      <c r="S2196" t="s">
        <v>0</v>
      </c>
      <c r="T2196" t="s">
        <v>0</v>
      </c>
    </row>
    <row r="2197" spans="1:20" x14ac:dyDescent="0.25">
      <c r="A2197">
        <v>21600874</v>
      </c>
      <c r="B2197" t="s">
        <v>10</v>
      </c>
      <c r="C2197" t="s">
        <v>9</v>
      </c>
      <c r="D2197">
        <v>89</v>
      </c>
      <c r="E2197">
        <v>64</v>
      </c>
      <c r="F2197">
        <v>25</v>
      </c>
      <c r="G2197">
        <v>3</v>
      </c>
      <c r="H2197" s="1">
        <v>1.7592592592592592E-3</v>
      </c>
      <c r="I2197">
        <v>2016</v>
      </c>
      <c r="J2197" t="s">
        <v>7</v>
      </c>
      <c r="K2197" s="2" t="str">
        <f>HYPERLINK("https://www.nba.com/stats/events?CFID=&amp;CFPARAMS=&amp;GameEventID=343&amp;GameID=0021600874&amp;Season=2016-17&amp;flag=1&amp;title=Mills%2024'%203PT%20Jump%20Shot%20(7%20PTS)%20(Leonard%201%20AST)", "Mills 24' 3PT Jump Shot (7 PTS) (Leonard 1 AST)")</f>
        <v>Mills 24' 3PT Jump Shot (7 PTS) (Leonard 1 AST)</v>
      </c>
      <c r="L2197" s="2" t="str">
        <f>HYPERLINK("https://www.nba.com/game/...-vs-...-0021600874/play-by-play?watchFullGame=true", "SAS vs LAL - Q3 02:32.00")</f>
        <v>SAS vs LAL - Q3 02:32.00</v>
      </c>
      <c r="M2197">
        <v>24</v>
      </c>
      <c r="N2197">
        <v>205</v>
      </c>
      <c r="O2197">
        <v>134</v>
      </c>
      <c r="P2197">
        <v>205</v>
      </c>
      <c r="Q2197">
        <v>134</v>
      </c>
      <c r="R2197" t="s">
        <v>0</v>
      </c>
      <c r="S2197" t="s">
        <v>0</v>
      </c>
      <c r="T2197" t="s">
        <v>0</v>
      </c>
    </row>
    <row r="2198" spans="1:20" x14ac:dyDescent="0.25">
      <c r="A2198">
        <v>21601011</v>
      </c>
      <c r="B2198" t="s">
        <v>4</v>
      </c>
      <c r="C2198" t="s">
        <v>44</v>
      </c>
      <c r="D2198">
        <v>11</v>
      </c>
      <c r="E2198">
        <v>7</v>
      </c>
      <c r="F2198">
        <v>4</v>
      </c>
      <c r="G2198">
        <v>1</v>
      </c>
      <c r="H2198" s="1">
        <v>5.9606481481481481E-3</v>
      </c>
      <c r="I2198">
        <v>2016</v>
      </c>
      <c r="J2198" t="s">
        <v>7</v>
      </c>
      <c r="K2198" s="2" t="str">
        <f>HYPERLINK("https://www.nba.com/stats/events?CFID=&amp;CFPARAMS=&amp;GameEventID=19&amp;GameID=0021601011&amp;Season=2016-17&amp;flag=1&amp;title=Dedmon%201'%20Alley%20Oop%20Layup%20(4%20PTS)%20(Leonard%202%20AST)", "Dedmon 1' Alley Oop Layup (4 PTS) (Leonard 2 AST)")</f>
        <v>Dedmon 1' Alley Oop Layup (4 PTS) (Leonard 2 AST)</v>
      </c>
      <c r="L2198" s="2" t="str">
        <f>HYPERLINK("https://www.nba.com/game/...-vs-...-0021601011/play-by-play?watchFullGame=true", "SAS vs POR - Q1 08:35.00")</f>
        <v>SAS vs POR - Q1 08:35.00</v>
      </c>
      <c r="M2198">
        <v>1</v>
      </c>
      <c r="N2198">
        <v>9</v>
      </c>
      <c r="O2198">
        <v>2</v>
      </c>
      <c r="P2198">
        <v>9</v>
      </c>
      <c r="Q2198">
        <v>2</v>
      </c>
      <c r="R2198" t="s">
        <v>0</v>
      </c>
      <c r="S2198" t="s">
        <v>0</v>
      </c>
      <c r="T2198" t="s">
        <v>0</v>
      </c>
    </row>
    <row r="2199" spans="1:20" x14ac:dyDescent="0.25">
      <c r="A2199">
        <v>21601033</v>
      </c>
      <c r="B2199" t="s">
        <v>4</v>
      </c>
      <c r="C2199" t="s">
        <v>17</v>
      </c>
      <c r="D2199">
        <v>8</v>
      </c>
      <c r="E2199">
        <v>8</v>
      </c>
      <c r="F2199">
        <v>0</v>
      </c>
      <c r="G2199">
        <v>1</v>
      </c>
      <c r="H2199" s="1">
        <v>4.8611111111111112E-3</v>
      </c>
      <c r="I2199">
        <v>2016</v>
      </c>
      <c r="J2199" t="s">
        <v>7</v>
      </c>
      <c r="K2199" s="2" t="str">
        <f>HYPERLINK("https://www.nba.com/stats/events?CFID=&amp;CFPARAMS=&amp;GameEventID=36&amp;GameID=0021601033&amp;Season=2016-17&amp;flag=1&amp;title=Aldridge%206'%20Floating%20Jump%20Shot%20(2%20PTS)%20(Leonard%201%20AST)", "Aldridge 6' Floating Jump Shot (2 PTS) (Leonard 1 AST)")</f>
        <v>Aldridge 6' Floating Jump Shot (2 PTS) (Leonard 1 AST)</v>
      </c>
      <c r="L2199" s="2" t="str">
        <f>HYPERLINK("https://www.nba.com/game/...-vs-...-0021601033/play-by-play?watchFullGame=true", "SAS vs MEM - Q1 07:00.00")</f>
        <v>SAS vs MEM - Q1 07:00.00</v>
      </c>
      <c r="M2199">
        <v>6</v>
      </c>
      <c r="N2199">
        <v>-61</v>
      </c>
      <c r="O2199">
        <v>11</v>
      </c>
      <c r="P2199">
        <v>-61</v>
      </c>
      <c r="Q2199">
        <v>11</v>
      </c>
      <c r="R2199" t="s">
        <v>0</v>
      </c>
      <c r="S2199" t="s">
        <v>0</v>
      </c>
      <c r="T2199" t="s">
        <v>0</v>
      </c>
    </row>
    <row r="2200" spans="1:20" x14ac:dyDescent="0.25">
      <c r="A2200">
        <v>21601033</v>
      </c>
      <c r="B2200" t="s">
        <v>10</v>
      </c>
      <c r="C2200" t="s">
        <v>9</v>
      </c>
      <c r="D2200">
        <v>78</v>
      </c>
      <c r="E2200">
        <v>84</v>
      </c>
      <c r="F2200">
        <v>6</v>
      </c>
      <c r="G2200">
        <v>4</v>
      </c>
      <c r="H2200" s="1">
        <v>5.5902777777777773E-3</v>
      </c>
      <c r="I2200">
        <v>2016</v>
      </c>
      <c r="J2200" t="s">
        <v>7</v>
      </c>
      <c r="K2200" s="2" t="str">
        <f>HYPERLINK("https://www.nba.com/stats/events?CFID=&amp;CFPARAMS=&amp;GameEventID=419&amp;GameID=0021601033&amp;Season=2016-17&amp;flag=1&amp;title=Simmons%2024'%203PT%20Jump%20Shot%20(10%20PTS)%20(Leonard%203%20AST)", "Simmons 24' 3PT Jump Shot (10 PTS) (Leonard 3 AST)")</f>
        <v>Simmons 24' 3PT Jump Shot (10 PTS) (Leonard 3 AST)</v>
      </c>
      <c r="L2200" s="2" t="str">
        <f>HYPERLINK("https://www.nba.com/game/...-vs-...-0021601033/play-by-play?watchFullGame=true", "SAS vs MEM - Q4 08:03.00")</f>
        <v>SAS vs MEM - Q4 08:03.00</v>
      </c>
      <c r="M2200">
        <v>24</v>
      </c>
      <c r="N2200">
        <v>240</v>
      </c>
      <c r="O2200">
        <v>-21</v>
      </c>
      <c r="P2200">
        <v>240</v>
      </c>
      <c r="Q2200">
        <v>-21</v>
      </c>
      <c r="R2200" t="s">
        <v>0</v>
      </c>
      <c r="S2200" t="s">
        <v>0</v>
      </c>
      <c r="T2200" t="s">
        <v>0</v>
      </c>
    </row>
    <row r="2201" spans="1:20" x14ac:dyDescent="0.25">
      <c r="A2201">
        <v>21801044</v>
      </c>
      <c r="B2201" t="s">
        <v>10</v>
      </c>
      <c r="C2201" t="s">
        <v>9</v>
      </c>
      <c r="D2201">
        <v>63</v>
      </c>
      <c r="E2201">
        <v>60</v>
      </c>
      <c r="F2201">
        <v>3</v>
      </c>
      <c r="G2201">
        <v>3</v>
      </c>
      <c r="H2201" s="1">
        <v>3.9467592592592592E-3</v>
      </c>
      <c r="I2201">
        <v>2018</v>
      </c>
      <c r="J2201" t="s">
        <v>1</v>
      </c>
      <c r="K2201" s="2" t="str">
        <f>HYPERLINK("https://www.nba.com/stats/events?CFID=&amp;CFPARAMS=&amp;GameEventID=355&amp;GameID=0021801044&amp;Season=2018-19&amp;flag=1&amp;title=Green%2025'%203PT%20Jump%20Shot%20(6%20PTS)%20(Leonard%201%20AST)", "Green 25' 3PT Jump Shot (6 PTS) (Leonard 1 AST)")</f>
        <v>Green 25' 3PT Jump Shot (6 PTS) (Leonard 1 AST)</v>
      </c>
      <c r="L2201" s="2" t="str">
        <f>HYPERLINK("https://www.nba.com/game/...-vs-...-0021801044/play-by-play?watchFullGame=true", "TOR vs DET - Q3 05:41.00")</f>
        <v>TOR vs DET - Q3 05:41.00</v>
      </c>
      <c r="M2201">
        <v>25</v>
      </c>
      <c r="N2201">
        <v>-135</v>
      </c>
      <c r="O2201">
        <v>213</v>
      </c>
      <c r="P2201">
        <v>-135</v>
      </c>
      <c r="Q2201">
        <v>213</v>
      </c>
      <c r="R2201" t="s">
        <v>0</v>
      </c>
      <c r="S2201" t="s">
        <v>0</v>
      </c>
      <c r="T2201" t="s">
        <v>0</v>
      </c>
    </row>
    <row r="2202" spans="1:20" x14ac:dyDescent="0.25">
      <c r="A2202">
        <v>21801072</v>
      </c>
      <c r="B2202" t="s">
        <v>10</v>
      </c>
      <c r="C2202" t="s">
        <v>9</v>
      </c>
      <c r="D2202">
        <v>100</v>
      </c>
      <c r="E2202">
        <v>86</v>
      </c>
      <c r="F2202">
        <v>14</v>
      </c>
      <c r="G2202">
        <v>4</v>
      </c>
      <c r="H2202" s="1">
        <v>4.9884259259259257E-3</v>
      </c>
      <c r="I2202">
        <v>2018</v>
      </c>
      <c r="J2202" t="s">
        <v>1</v>
      </c>
      <c r="K2202" s="2" t="str">
        <f>HYPERLINK("https://www.nba.com/stats/events?CFID=&amp;CFPARAMS=&amp;GameEventID=550&amp;GameID=0021801072&amp;Season=2018-19&amp;flag=1&amp;title=VanVleet%203PT%20Jump%20Shot%20(19%20PTS)%20(Leonard%205%20AST)", "VanVleet 3PT Jump Shot (19 PTS) (Leonard 5 AST)")</f>
        <v>VanVleet 3PT Jump Shot (19 PTS) (Leonard 5 AST)</v>
      </c>
      <c r="L2202" s="2" t="str">
        <f>HYPERLINK("https://www.nba.com/game/...-vs-...-0021801072/play-by-play?watchFullGame=true", "TOR vs OKC - Q4 07:11.00")</f>
        <v>TOR vs OKC - Q4 07:11.00</v>
      </c>
      <c r="M2202">
        <v>0</v>
      </c>
      <c r="N2202">
        <v>225</v>
      </c>
      <c r="O2202">
        <v>20</v>
      </c>
      <c r="P2202">
        <v>225</v>
      </c>
      <c r="Q2202">
        <v>20</v>
      </c>
      <c r="R2202" t="s">
        <v>0</v>
      </c>
      <c r="S2202" t="s">
        <v>0</v>
      </c>
      <c r="T2202" t="s">
        <v>0</v>
      </c>
    </row>
    <row r="2203" spans="1:20" x14ac:dyDescent="0.25">
      <c r="A2203">
        <v>21801180</v>
      </c>
      <c r="B2203" t="s">
        <v>4</v>
      </c>
      <c r="C2203" t="s">
        <v>29</v>
      </c>
      <c r="D2203">
        <v>51</v>
      </c>
      <c r="E2203">
        <v>50</v>
      </c>
      <c r="F2203">
        <v>1</v>
      </c>
      <c r="G2203">
        <v>2</v>
      </c>
      <c r="H2203" s="1">
        <v>2.2453703703703702E-3</v>
      </c>
      <c r="I2203">
        <v>2018</v>
      </c>
      <c r="J2203" t="s">
        <v>1</v>
      </c>
      <c r="K2203" s="2" t="str">
        <f>HYPERLINK("https://www.nba.com/stats/events?CFID=&amp;CFPARAMS=&amp;GameEventID=284&amp;GameID=0021801180&amp;Season=2018-19&amp;flag=1&amp;title=VanVleet%207'%20Driving%20Floating%20Jump%20Shot%20(6%20PTS)%20(Leonard%202%20AST)", "VanVleet 7' Driving Floating Jump Shot (6 PTS) (Leonard 2 AST)")</f>
        <v>VanVleet 7' Driving Floating Jump Shot (6 PTS) (Leonard 2 AST)</v>
      </c>
      <c r="L2203" s="2" t="str">
        <f>HYPERLINK("https://www.nba.com/game/...-vs-...-0021801180/play-by-play?watchFullGame=true", "TOR vs CHA - Q2 03:14.00")</f>
        <v>TOR vs CHA - Q2 03:14.00</v>
      </c>
      <c r="M2203">
        <v>7</v>
      </c>
      <c r="N2203">
        <v>-3</v>
      </c>
      <c r="O2203">
        <v>71</v>
      </c>
      <c r="P2203">
        <v>-3</v>
      </c>
      <c r="Q2203">
        <v>71</v>
      </c>
      <c r="R2203" t="s">
        <v>0</v>
      </c>
      <c r="S2203" t="s">
        <v>0</v>
      </c>
      <c r="T2203" t="s">
        <v>0</v>
      </c>
    </row>
    <row r="2204" spans="1:20" x14ac:dyDescent="0.25">
      <c r="A2204">
        <v>21801195</v>
      </c>
      <c r="B2204" t="s">
        <v>10</v>
      </c>
      <c r="C2204" t="s">
        <v>9</v>
      </c>
      <c r="D2204">
        <v>106</v>
      </c>
      <c r="E2204">
        <v>103</v>
      </c>
      <c r="F2204">
        <v>3</v>
      </c>
      <c r="G2204">
        <v>5</v>
      </c>
      <c r="H2204" s="1">
        <v>3.2870370370370371E-3</v>
      </c>
      <c r="I2204">
        <v>2018</v>
      </c>
      <c r="J2204" t="s">
        <v>1</v>
      </c>
      <c r="K2204" s="2" t="str">
        <f>HYPERLINK("https://www.nba.com/stats/events?CFID=&amp;CFPARAMS=&amp;GameEventID=622&amp;GameID=0021801195&amp;Season=2018-19&amp;flag=1&amp;title=Green%203PT%20Jump%20Shot%20(17%20PTS)%20(Leonard%204%20AST)", "Green 3PT Jump Shot (17 PTS) (Leonard 4 AST)")</f>
        <v>Green 3PT Jump Shot (17 PTS) (Leonard 4 AST)</v>
      </c>
      <c r="L2204" s="2" t="str">
        <f>HYPERLINK("https://www.nba.com/game/...-vs-...-0021801195/play-by-play?watchFullGame=true", "TOR vs MIA - Q5 04:44.00")</f>
        <v>TOR vs MIA - Q5 04:44.00</v>
      </c>
      <c r="M2204">
        <v>0</v>
      </c>
      <c r="N2204">
        <v>226</v>
      </c>
      <c r="O2204">
        <v>1</v>
      </c>
      <c r="P2204">
        <v>226</v>
      </c>
      <c r="Q2204">
        <v>1</v>
      </c>
      <c r="R2204" t="s">
        <v>0</v>
      </c>
      <c r="S2204" t="s">
        <v>0</v>
      </c>
      <c r="T2204" t="s">
        <v>0</v>
      </c>
    </row>
    <row r="2205" spans="1:20" x14ac:dyDescent="0.25">
      <c r="A2205">
        <v>21501140</v>
      </c>
      <c r="B2205" t="s">
        <v>4</v>
      </c>
      <c r="C2205" t="s">
        <v>5</v>
      </c>
      <c r="D2205">
        <v>30</v>
      </c>
      <c r="E2205">
        <v>21</v>
      </c>
      <c r="F2205">
        <v>9</v>
      </c>
      <c r="G2205">
        <v>2</v>
      </c>
      <c r="H2205" s="1">
        <v>7.743055555555556E-3</v>
      </c>
      <c r="I2205">
        <v>2015</v>
      </c>
      <c r="J2205" t="s">
        <v>7</v>
      </c>
      <c r="K2205" s="2" t="str">
        <f>HYPERLINK("https://www.nba.com/stats/events?CFID=&amp;CFPARAMS=&amp;GameEventID=112&amp;GameID=0021501140&amp;Season=2015-16&amp;flag=1&amp;title=West%20%20Layup%20(2%20PTS)%20(Leonard%202%20AST)", "West  Layup (2 PTS) (Leonard 2 AST)")</f>
        <v>West  Layup (2 PTS) (Leonard 2 AST)</v>
      </c>
      <c r="L2205" s="2" t="str">
        <f>HYPERLINK("https://www.nba.com/game/...-vs-...-0021501140/play-by-play?watchFullGame=true", "SAS vs TOR - Q2 11:09.00")</f>
        <v>SAS vs TOR - Q2 11:09.00</v>
      </c>
      <c r="M2205">
        <v>0</v>
      </c>
      <c r="N2205">
        <v>-2</v>
      </c>
      <c r="O2205">
        <v>2</v>
      </c>
      <c r="P2205">
        <v>-2</v>
      </c>
      <c r="Q2205">
        <v>2</v>
      </c>
      <c r="R2205" t="s">
        <v>0</v>
      </c>
      <c r="S2205" t="s">
        <v>0</v>
      </c>
      <c r="T2205" t="s">
        <v>0</v>
      </c>
    </row>
    <row r="2206" spans="1:20" x14ac:dyDescent="0.25">
      <c r="A2206">
        <v>21501215</v>
      </c>
      <c r="B2206" t="s">
        <v>4</v>
      </c>
      <c r="C2206" t="s">
        <v>9</v>
      </c>
      <c r="D2206">
        <v>17</v>
      </c>
      <c r="E2206">
        <v>18</v>
      </c>
      <c r="F2206">
        <v>1</v>
      </c>
      <c r="G2206">
        <v>1</v>
      </c>
      <c r="H2206" s="1">
        <v>3.3449074074074076E-3</v>
      </c>
      <c r="I2206">
        <v>2015</v>
      </c>
      <c r="J2206" t="s">
        <v>7</v>
      </c>
      <c r="K2206" s="2" t="str">
        <f>HYPERLINK("https://www.nba.com/stats/events?CFID=&amp;CFPARAMS=&amp;GameEventID=73&amp;GameID=0021501215&amp;Season=2015-16&amp;flag=1&amp;title=West%2020'%20Jump%20Shot%20(2%20PTS)%20(Leonard%203%20AST)", "West 20' Jump Shot (2 PTS) (Leonard 3 AST)")</f>
        <v>West 20' Jump Shot (2 PTS) (Leonard 3 AST)</v>
      </c>
      <c r="L2206" s="2" t="str">
        <f>HYPERLINK("https://www.nba.com/game/...-vs-...-0021501215/play-by-play?watchFullGame=true", "SAS vs OKC - Q1 04:49.00")</f>
        <v>SAS vs OKC - Q1 04:49.00</v>
      </c>
      <c r="M2206">
        <v>20</v>
      </c>
      <c r="N2206">
        <v>115</v>
      </c>
      <c r="O2206">
        <v>160</v>
      </c>
      <c r="P2206">
        <v>115</v>
      </c>
      <c r="Q2206">
        <v>160</v>
      </c>
      <c r="R2206" t="s">
        <v>0</v>
      </c>
      <c r="S2206" t="s">
        <v>0</v>
      </c>
      <c r="T2206" t="s">
        <v>0</v>
      </c>
    </row>
    <row r="2207" spans="1:20" x14ac:dyDescent="0.25">
      <c r="A2207">
        <v>21600182</v>
      </c>
      <c r="B2207" t="s">
        <v>4</v>
      </c>
      <c r="C2207" t="s">
        <v>25</v>
      </c>
      <c r="D2207">
        <v>21</v>
      </c>
      <c r="E2207">
        <v>12</v>
      </c>
      <c r="F2207">
        <v>9</v>
      </c>
      <c r="G2207">
        <v>1</v>
      </c>
      <c r="H2207" s="1">
        <v>1.8749999999999999E-3</v>
      </c>
      <c r="I2207">
        <v>2016</v>
      </c>
      <c r="J2207" t="s">
        <v>7</v>
      </c>
      <c r="K2207" s="2" t="str">
        <f>HYPERLINK("https://www.nba.com/stats/events?CFID=&amp;CFPARAMS=&amp;GameEventID=92&amp;GameID=0021600182&amp;Season=2016-17&amp;flag=1&amp;title=Mills%201'%20Running%20Finger%20Roll%20Layup%20(5%20PTS)%20(Leonard%204%20AST)", "Mills 1' Running Finger Roll Layup (5 PTS) (Leonard 4 AST)")</f>
        <v>Mills 1' Running Finger Roll Layup (5 PTS) (Leonard 4 AST)</v>
      </c>
      <c r="L2207" s="2" t="str">
        <f>HYPERLINK("https://www.nba.com/game/...-vs-...-0021600182/play-by-play?watchFullGame=true", "SAS vs LAL - Q1 02:42.00")</f>
        <v>SAS vs LAL - Q1 02:42.00</v>
      </c>
      <c r="M2207">
        <v>1</v>
      </c>
      <c r="N2207">
        <v>-11</v>
      </c>
      <c r="O2207">
        <v>1</v>
      </c>
      <c r="P2207">
        <v>-11</v>
      </c>
      <c r="Q2207">
        <v>1</v>
      </c>
      <c r="R2207" t="s">
        <v>0</v>
      </c>
      <c r="S2207" t="s">
        <v>0</v>
      </c>
      <c r="T2207" t="s">
        <v>0</v>
      </c>
    </row>
    <row r="2208" spans="1:20" x14ac:dyDescent="0.25">
      <c r="A2208">
        <v>21600240</v>
      </c>
      <c r="B2208" t="s">
        <v>4</v>
      </c>
      <c r="C2208" t="s">
        <v>45</v>
      </c>
      <c r="D2208">
        <v>83</v>
      </c>
      <c r="E2208">
        <v>69</v>
      </c>
      <c r="F2208">
        <v>14</v>
      </c>
      <c r="G2208">
        <v>3</v>
      </c>
      <c r="H2208" s="1">
        <v>1.5509259259259259E-3</v>
      </c>
      <c r="I2208">
        <v>2016</v>
      </c>
      <c r="J2208" t="s">
        <v>7</v>
      </c>
      <c r="K2208" s="2" t="str">
        <f>HYPERLINK("https://www.nba.com/stats/events?CFID=&amp;CFPARAMS=&amp;GameEventID=386&amp;GameID=0021600240&amp;Season=2016-17&amp;flag=1&amp;title=Simmons%20%20Alley%20Oop%20Dunk%20(9%20PTS)%20(Leonard%204%20AST)", "Simmons  Alley Oop Dunk (9 PTS) (Leonard 4 AST)")</f>
        <v>Simmons  Alley Oop Dunk (9 PTS) (Leonard 4 AST)</v>
      </c>
      <c r="L2208" s="2" t="str">
        <f>HYPERLINK("https://www.nba.com/game/...-vs-...-0021600240/play-by-play?watchFullGame=true", "SAS vs WAS - Q3 02:14.00")</f>
        <v>SAS vs WAS - Q3 02:14.00</v>
      </c>
      <c r="M2208">
        <v>0</v>
      </c>
      <c r="N2208">
        <v>0</v>
      </c>
      <c r="O2208">
        <v>1</v>
      </c>
      <c r="P2208">
        <v>0</v>
      </c>
      <c r="Q2208">
        <v>1</v>
      </c>
      <c r="R2208" t="s">
        <v>0</v>
      </c>
      <c r="S2208" t="s">
        <v>0</v>
      </c>
      <c r="T2208" t="s">
        <v>0</v>
      </c>
    </row>
    <row r="2209" spans="1:20" x14ac:dyDescent="0.25">
      <c r="A2209">
        <v>21600353</v>
      </c>
      <c r="B2209" t="s">
        <v>10</v>
      </c>
      <c r="C2209" t="s">
        <v>9</v>
      </c>
      <c r="D2209">
        <v>32</v>
      </c>
      <c r="E2209">
        <v>26</v>
      </c>
      <c r="F2209">
        <v>6</v>
      </c>
      <c r="G2209">
        <v>1</v>
      </c>
      <c r="H2209" s="1">
        <v>1.2268518518518518E-3</v>
      </c>
      <c r="I2209">
        <v>2016</v>
      </c>
      <c r="J2209" t="s">
        <v>7</v>
      </c>
      <c r="K2209" s="2" t="str">
        <f>HYPERLINK("https://www.nba.com/stats/events?CFID=&amp;CFPARAMS=&amp;GameEventID=83&amp;GameID=0021600353&amp;Season=2016-17&amp;flag=1&amp;title=Mills%20%203PT%20Jump%20Shot%20(3%20PTS)%20(Leonard%202%20AST)", "Mills  3PT Jump Shot (3 PTS) (Leonard 2 AST)")</f>
        <v>Mills  3PT Jump Shot (3 PTS) (Leonard 2 AST)</v>
      </c>
      <c r="L2209" s="2" t="str">
        <f>HYPERLINK("https://www.nba.com/game/...-vs-...-0021600353/play-by-play?watchFullGame=true", "SAS vs BKN - Q1 01:46.00")</f>
        <v>SAS vs BKN - Q1 01:46.00</v>
      </c>
      <c r="M2209">
        <v>0</v>
      </c>
      <c r="N2209">
        <v>227</v>
      </c>
      <c r="O2209">
        <v>26</v>
      </c>
      <c r="P2209">
        <v>227</v>
      </c>
      <c r="Q2209">
        <v>26</v>
      </c>
      <c r="R2209" t="s">
        <v>0</v>
      </c>
      <c r="S2209" t="s">
        <v>0</v>
      </c>
      <c r="T2209" t="s">
        <v>0</v>
      </c>
    </row>
    <row r="2210" spans="1:20" x14ac:dyDescent="0.25">
      <c r="A2210">
        <v>21600458</v>
      </c>
      <c r="B2210" t="s">
        <v>10</v>
      </c>
      <c r="C2210" t="s">
        <v>9</v>
      </c>
      <c r="D2210">
        <v>103</v>
      </c>
      <c r="E2210">
        <v>89</v>
      </c>
      <c r="F2210">
        <v>14</v>
      </c>
      <c r="G2210">
        <v>4</v>
      </c>
      <c r="H2210" s="1">
        <v>5.5208333333333333E-3</v>
      </c>
      <c r="I2210">
        <v>2016</v>
      </c>
      <c r="J2210" t="s">
        <v>7</v>
      </c>
      <c r="K2210" s="2" t="str">
        <f>HYPERLINK("https://www.nba.com/stats/events?CFID=&amp;CFPARAMS=&amp;GameEventID=423&amp;GameID=0021600458&amp;Season=2016-17&amp;flag=1&amp;title=Parker%2025'%203PT%20Jump%20Shot%20(7%20PTS)%20(Leonard%205%20AST)", "Parker 25' 3PT Jump Shot (7 PTS) (Leonard 5 AST)")</f>
        <v>Parker 25' 3PT Jump Shot (7 PTS) (Leonard 5 AST)</v>
      </c>
      <c r="L2210" s="2" t="str">
        <f>HYPERLINK("https://www.nba.com/game/...-vs-...-0021600458/play-by-play?watchFullGame=true", "SAS vs CHI - Q4 07:57.00")</f>
        <v>SAS vs CHI - Q4 07:57.00</v>
      </c>
      <c r="M2210">
        <v>25</v>
      </c>
      <c r="N2210">
        <v>244</v>
      </c>
      <c r="O2210">
        <v>29</v>
      </c>
      <c r="P2210">
        <v>244</v>
      </c>
      <c r="Q2210">
        <v>29</v>
      </c>
      <c r="R2210" t="s">
        <v>0</v>
      </c>
      <c r="S2210" t="s">
        <v>0</v>
      </c>
      <c r="T2210" t="s">
        <v>0</v>
      </c>
    </row>
    <row r="2211" spans="1:20" x14ac:dyDescent="0.25">
      <c r="A2211">
        <v>21600588</v>
      </c>
      <c r="B2211" t="s">
        <v>4</v>
      </c>
      <c r="C2211" t="s">
        <v>9</v>
      </c>
      <c r="D2211">
        <v>82</v>
      </c>
      <c r="E2211">
        <v>58</v>
      </c>
      <c r="F2211">
        <v>24</v>
      </c>
      <c r="G2211">
        <v>3</v>
      </c>
      <c r="H2211" s="1">
        <v>5.2546296296296299E-3</v>
      </c>
      <c r="I2211">
        <v>2016</v>
      </c>
      <c r="J2211" t="s">
        <v>7</v>
      </c>
      <c r="K2211" s="2" t="str">
        <f>HYPERLINK("https://www.nba.com/stats/events?CFID=&amp;CFPARAMS=&amp;GameEventID=342&amp;GameID=0021600588&amp;Season=2016-17&amp;flag=1&amp;title=Gasol%209'%20Jump%20Shot%20(18%20PTS)%20(Leonard%202%20AST)", "Gasol 9' Jump Shot (18 PTS) (Leonard 2 AST)")</f>
        <v>Gasol 9' Jump Shot (18 PTS) (Leonard 2 AST)</v>
      </c>
      <c r="L2211" s="2" t="str">
        <f>HYPERLINK("https://www.nba.com/game/...-vs-...-0021600588/play-by-play?watchFullGame=true", "SAS vs LAL - Q3 07:34.00")</f>
        <v>SAS vs LAL - Q3 07:34.00</v>
      </c>
      <c r="M2211">
        <v>9</v>
      </c>
      <c r="N2211">
        <v>55</v>
      </c>
      <c r="O2211">
        <v>65</v>
      </c>
      <c r="P2211">
        <v>55</v>
      </c>
      <c r="Q2211">
        <v>65</v>
      </c>
      <c r="R2211" t="s">
        <v>0</v>
      </c>
      <c r="S2211" t="s">
        <v>0</v>
      </c>
      <c r="T2211" t="s">
        <v>0</v>
      </c>
    </row>
    <row r="2212" spans="1:20" x14ac:dyDescent="0.25">
      <c r="A2212">
        <v>21600701</v>
      </c>
      <c r="B2212" t="s">
        <v>4</v>
      </c>
      <c r="C2212" t="s">
        <v>24</v>
      </c>
      <c r="D2212">
        <v>66</v>
      </c>
      <c r="E2212">
        <v>55</v>
      </c>
      <c r="F2212">
        <v>11</v>
      </c>
      <c r="G2212">
        <v>3</v>
      </c>
      <c r="H2212" s="1">
        <v>5.0115740740740737E-3</v>
      </c>
      <c r="I2212">
        <v>2016</v>
      </c>
      <c r="J2212" t="s">
        <v>7</v>
      </c>
      <c r="K2212" s="2" t="str">
        <f>HYPERLINK("https://www.nba.com/stats/events?CFID=&amp;CFPARAMS=&amp;GameEventID=338&amp;GameID=0021600701&amp;Season=2016-17&amp;flag=1&amp;title=Aldridge%201'%20Cutting%20Finger%20Roll%20Layup%20Shot%20(12%20PTS)%20(Leonard%204%20AST)", "Aldridge 1' Cutting Finger Roll Layup Shot (12 PTS) (Leonard 4 AST)")</f>
        <v>Aldridge 1' Cutting Finger Roll Layup Shot (12 PTS) (Leonard 4 AST)</v>
      </c>
      <c r="L2212" s="2" t="str">
        <f>HYPERLINK("https://www.nba.com/game/...-vs-...-0021600701/play-by-play?watchFullGame=true", "SAS vs NOP - Q3 07:13.00")</f>
        <v>SAS vs NOP - Q3 07:13.00</v>
      </c>
      <c r="M2212">
        <v>1</v>
      </c>
      <c r="N2212">
        <v>1</v>
      </c>
      <c r="O2212">
        <v>11</v>
      </c>
      <c r="P2212">
        <v>1</v>
      </c>
      <c r="Q2212">
        <v>11</v>
      </c>
      <c r="R2212" t="s">
        <v>0</v>
      </c>
      <c r="S2212" t="s">
        <v>0</v>
      </c>
      <c r="T2212" t="s">
        <v>0</v>
      </c>
    </row>
    <row r="2213" spans="1:20" x14ac:dyDescent="0.25">
      <c r="A2213">
        <v>21601118</v>
      </c>
      <c r="B2213" t="s">
        <v>10</v>
      </c>
      <c r="C2213" t="s">
        <v>9</v>
      </c>
      <c r="D2213">
        <v>29</v>
      </c>
      <c r="E2213">
        <v>7</v>
      </c>
      <c r="F2213">
        <v>22</v>
      </c>
      <c r="G2213">
        <v>1</v>
      </c>
      <c r="H2213" s="1">
        <v>2.4189814814814816E-3</v>
      </c>
      <c r="I2213">
        <v>2016</v>
      </c>
      <c r="J2213" t="s">
        <v>7</v>
      </c>
      <c r="K2213" s="2" t="str">
        <f>HYPERLINK("https://www.nba.com/stats/events?CFID=&amp;CFPARAMS=&amp;GameEventID=93&amp;GameID=0021601118&amp;Season=2016-17&amp;flag=1&amp;title=Aldridge%2024'%203PT%20Jump%20Shot%20(9%20PTS)%20(Leonard%203%20AST)", "Aldridge 24' 3PT Jump Shot (9 PTS) (Leonard 3 AST)")</f>
        <v>Aldridge 24' 3PT Jump Shot (9 PTS) (Leonard 3 AST)</v>
      </c>
      <c r="L2213" s="2" t="str">
        <f>HYPERLINK("https://www.nba.com/game/...-vs-...-0021601118/play-by-play?watchFullGame=true", "SAS vs GSW - Q1 03:29.00")</f>
        <v>SAS vs GSW - Q1 03:29.00</v>
      </c>
      <c r="M2213">
        <v>24</v>
      </c>
      <c r="N2213">
        <v>235</v>
      </c>
      <c r="O2213">
        <v>33</v>
      </c>
      <c r="P2213">
        <v>235</v>
      </c>
      <c r="Q2213">
        <v>33</v>
      </c>
      <c r="R2213" t="s">
        <v>0</v>
      </c>
      <c r="S2213" t="s">
        <v>0</v>
      </c>
      <c r="T2213" t="s">
        <v>0</v>
      </c>
    </row>
    <row r="2214" spans="1:20" x14ac:dyDescent="0.25">
      <c r="A2214">
        <v>21601161</v>
      </c>
      <c r="B2214" t="s">
        <v>4</v>
      </c>
      <c r="C2214" t="s">
        <v>9</v>
      </c>
      <c r="D2214">
        <v>14</v>
      </c>
      <c r="E2214">
        <v>6</v>
      </c>
      <c r="F2214">
        <v>8</v>
      </c>
      <c r="G2214">
        <v>1</v>
      </c>
      <c r="H2214" s="1">
        <v>4.4675925925925924E-3</v>
      </c>
      <c r="I2214">
        <v>2016</v>
      </c>
      <c r="J2214" t="s">
        <v>7</v>
      </c>
      <c r="K2214" s="2" t="str">
        <f>HYPERLINK("https://www.nba.com/stats/events?CFID=&amp;CFPARAMS=&amp;GameEventID=41&amp;GameID=0021601161&amp;Season=2016-17&amp;flag=1&amp;title=Aldridge%2020'%20Jump%20Shot%20(4%20PTS)%20(Leonard%202%20AST)", "Aldridge 20' Jump Shot (4 PTS) (Leonard 2 AST)")</f>
        <v>Aldridge 20' Jump Shot (4 PTS) (Leonard 2 AST)</v>
      </c>
      <c r="L2214" s="2" t="str">
        <f>HYPERLINK("https://www.nba.com/game/...-vs-...-0021601161/play-by-play?watchFullGame=true", "SAS vs MEM - Q1 06:26.00")</f>
        <v>SAS vs MEM - Q1 06:26.00</v>
      </c>
      <c r="M2214">
        <v>20</v>
      </c>
      <c r="N2214">
        <v>-135</v>
      </c>
      <c r="O2214">
        <v>149</v>
      </c>
      <c r="P2214">
        <v>-135</v>
      </c>
      <c r="Q2214">
        <v>149</v>
      </c>
      <c r="R2214" t="s">
        <v>0</v>
      </c>
      <c r="S2214" t="s">
        <v>0</v>
      </c>
      <c r="T2214" t="s">
        <v>0</v>
      </c>
    </row>
    <row r="2215" spans="1:20" x14ac:dyDescent="0.25">
      <c r="A2215">
        <v>21601170</v>
      </c>
      <c r="B2215" t="s">
        <v>4</v>
      </c>
      <c r="C2215" t="s">
        <v>31</v>
      </c>
      <c r="D2215">
        <v>21</v>
      </c>
      <c r="E2215">
        <v>40</v>
      </c>
      <c r="F2215">
        <v>19</v>
      </c>
      <c r="G2215">
        <v>2</v>
      </c>
      <c r="H2215" s="1">
        <v>6.5856481481481478E-3</v>
      </c>
      <c r="I2215">
        <v>2016</v>
      </c>
      <c r="J2215" t="s">
        <v>7</v>
      </c>
      <c r="K2215" s="2" t="str">
        <f>HYPERLINK("https://www.nba.com/stats/events?CFID=&amp;CFPARAMS=&amp;GameEventID=127&amp;GameID=0021601170&amp;Season=2016-17&amp;flag=1&amp;title=Parker%201'%20Driving%20Reverse%20Layup%20(4%20PTS)%20(Leonard%203%20AST)", "Parker 1' Driving Reverse Layup (4 PTS) (Leonard 3 AST)")</f>
        <v>Parker 1' Driving Reverse Layup (4 PTS) (Leonard 3 AST)</v>
      </c>
      <c r="L2215" s="2" t="str">
        <f>HYPERLINK("https://www.nba.com/game/...-vs-...-0021601170/play-by-play?watchFullGame=true", "SAS vs LAL - Q2 09:29.00")</f>
        <v>SAS vs LAL - Q2 09:29.00</v>
      </c>
      <c r="M2215">
        <v>1</v>
      </c>
      <c r="N2215">
        <v>-7</v>
      </c>
      <c r="O2215">
        <v>7</v>
      </c>
      <c r="P2215">
        <v>-7</v>
      </c>
      <c r="Q2215">
        <v>7</v>
      </c>
      <c r="R2215" t="s">
        <v>0</v>
      </c>
      <c r="S2215" t="s">
        <v>0</v>
      </c>
      <c r="T2215" t="s">
        <v>0</v>
      </c>
    </row>
    <row r="2216" spans="1:20" x14ac:dyDescent="0.25">
      <c r="A2216">
        <v>21700550</v>
      </c>
      <c r="B2216" t="s">
        <v>4</v>
      </c>
      <c r="C2216" t="s">
        <v>21</v>
      </c>
      <c r="D2216">
        <v>16</v>
      </c>
      <c r="E2216">
        <v>15</v>
      </c>
      <c r="F2216">
        <v>1</v>
      </c>
      <c r="G2216">
        <v>1</v>
      </c>
      <c r="H2216" s="1">
        <v>3.472222222222222E-3</v>
      </c>
      <c r="I2216">
        <v>2017</v>
      </c>
      <c r="J2216" t="s">
        <v>7</v>
      </c>
      <c r="K2216" s="2" t="str">
        <f>HYPERLINK("https://www.nba.com/stats/events?CFID=&amp;CFPARAMS=&amp;GameEventID=80&amp;GameID=0021700550&amp;Season=2017-18&amp;flag=1&amp;title=Aldridge%2010'%20Fadeaway%20Jumper%20(9%20PTS)%20(Leonard%202%20AST)", "Aldridge 10' Fadeaway Jumper (9 PTS) (Leonard 2 AST)")</f>
        <v>Aldridge 10' Fadeaway Jumper (9 PTS) (Leonard 2 AST)</v>
      </c>
      <c r="L2216" s="2" t="str">
        <f>HYPERLINK("https://www.nba.com/game/...-vs-...-0021700550/play-by-play?watchFullGame=true", "SAS vs NYK - Q1 05:00.00")</f>
        <v>SAS vs NYK - Q1 05:00.00</v>
      </c>
      <c r="M2216">
        <v>10</v>
      </c>
      <c r="N2216">
        <v>-7</v>
      </c>
      <c r="O2216">
        <v>99</v>
      </c>
      <c r="P2216">
        <v>-7</v>
      </c>
      <c r="Q2216">
        <v>99</v>
      </c>
      <c r="R2216" t="s">
        <v>0</v>
      </c>
      <c r="S2216" t="s">
        <v>0</v>
      </c>
      <c r="T2216" t="s">
        <v>0</v>
      </c>
    </row>
    <row r="2217" spans="1:20" x14ac:dyDescent="0.25">
      <c r="A2217">
        <v>21700637</v>
      </c>
      <c r="B2217" t="s">
        <v>4</v>
      </c>
      <c r="C2217" t="s">
        <v>23</v>
      </c>
      <c r="D2217">
        <v>101</v>
      </c>
      <c r="E2217">
        <v>120</v>
      </c>
      <c r="F2217">
        <v>19</v>
      </c>
      <c r="G2217">
        <v>4</v>
      </c>
      <c r="H2217" s="1">
        <v>5.6481481481481476E-4</v>
      </c>
      <c r="I2217">
        <v>2017</v>
      </c>
      <c r="J2217" t="s">
        <v>12</v>
      </c>
      <c r="K2217" s="2" t="str">
        <f>HYPERLINK("https://www.nba.com/stats/events?CFID=&amp;CFPARAMS=&amp;GameEventID=592&amp;GameID=0021700637&amp;Season=2017-18&amp;flag=1&amp;title=Connaughton%201'%20Driving%20Layup%20(18%20PTS)%20(Leonard%201%20AST)", "Connaughton 1' Driving Layup (18 PTS) (Leonard 1 AST)")</f>
        <v>Connaughton 1' Driving Layup (18 PTS) (Leonard 1 AST)</v>
      </c>
      <c r="L2217" s="2" t="str">
        <f>HYPERLINK("https://www.nba.com/game/...-vs-...-0021700637/play-by-play?watchFullGame=true", "POR vs MIN - Q4 00:48.80")</f>
        <v>POR vs MIN - Q4 00:48.80</v>
      </c>
      <c r="M2217">
        <v>1</v>
      </c>
      <c r="N2217">
        <v>3</v>
      </c>
      <c r="O2217">
        <v>4</v>
      </c>
      <c r="P2217">
        <v>3</v>
      </c>
      <c r="Q2217">
        <v>4</v>
      </c>
      <c r="R2217" t="s">
        <v>0</v>
      </c>
      <c r="S2217" t="s">
        <v>0</v>
      </c>
      <c r="T2217" t="s">
        <v>0</v>
      </c>
    </row>
    <row r="2218" spans="1:20" x14ac:dyDescent="0.25">
      <c r="A2218">
        <v>21800016</v>
      </c>
      <c r="B2218" t="s">
        <v>10</v>
      </c>
      <c r="C2218" t="s">
        <v>9</v>
      </c>
      <c r="D2218">
        <v>34</v>
      </c>
      <c r="E2218">
        <v>31</v>
      </c>
      <c r="F2218">
        <v>3</v>
      </c>
      <c r="G2218">
        <v>1</v>
      </c>
      <c r="H2218" s="1">
        <v>3.8773148148148147E-4</v>
      </c>
      <c r="I2218">
        <v>2018</v>
      </c>
      <c r="J2218" t="s">
        <v>12</v>
      </c>
      <c r="K2218" s="2" t="str">
        <f>HYPERLINK("https://www.nba.com/stats/events?CFID=&amp;CFPARAMS=&amp;GameEventID=169&amp;GameID=0021800016&amp;Season=2018-19&amp;flag=1&amp;title=Stauskas%2024'%203PT%20Jump%20Shot%20(6%20PTS)%20(Leonard%202%20AST)", "Stauskas 24' 3PT Jump Shot (6 PTS) (Leonard 2 AST)")</f>
        <v>Stauskas 24' 3PT Jump Shot (6 PTS) (Leonard 2 AST)</v>
      </c>
      <c r="L2218" s="2" t="str">
        <f>HYPERLINK("https://www.nba.com/game/...-vs-...-0021800016/play-by-play?watchFullGame=true", "POR vs LAL - Q1 00:33.50")</f>
        <v>POR vs LAL - Q1 00:33.50</v>
      </c>
      <c r="M2218">
        <v>24</v>
      </c>
      <c r="N2218">
        <v>184</v>
      </c>
      <c r="O2218">
        <v>160</v>
      </c>
      <c r="P2218">
        <v>184</v>
      </c>
      <c r="Q2218">
        <v>160</v>
      </c>
      <c r="R2218" t="s">
        <v>0</v>
      </c>
      <c r="S2218" t="s">
        <v>0</v>
      </c>
      <c r="T2218" t="s">
        <v>0</v>
      </c>
    </row>
    <row r="2219" spans="1:20" x14ac:dyDescent="0.25">
      <c r="A2219">
        <v>21800192</v>
      </c>
      <c r="B2219" t="s">
        <v>10</v>
      </c>
      <c r="C2219" t="s">
        <v>9</v>
      </c>
      <c r="D2219">
        <v>67</v>
      </c>
      <c r="E2219">
        <v>68</v>
      </c>
      <c r="F2219">
        <v>1</v>
      </c>
      <c r="G2219">
        <v>3</v>
      </c>
      <c r="H2219" s="1">
        <v>7.1990740740740739E-3</v>
      </c>
      <c r="I2219">
        <v>2018</v>
      </c>
      <c r="J2219" t="s">
        <v>1</v>
      </c>
      <c r="K2219" s="2" t="str">
        <f>HYPERLINK("https://www.nba.com/stats/events?CFID=&amp;CFPARAMS=&amp;GameEventID=363&amp;GameID=0021800192&amp;Season=2018-19&amp;flag=1&amp;title=Green%203PT%20Jump%20Shot%20(3%20PTS)%20(Leonard%202%20AST)", "Green 3PT Jump Shot (3 PTS) (Leonard 2 AST)")</f>
        <v>Green 3PT Jump Shot (3 PTS) (Leonard 2 AST)</v>
      </c>
      <c r="L2219" s="2" t="str">
        <f>HYPERLINK("https://www.nba.com/game/...-vs-...-0021800192/play-by-play?watchFullGame=true", "TOR vs NOP - Q3 10:22.00")</f>
        <v>TOR vs NOP - Q3 10:22.00</v>
      </c>
      <c r="M2219">
        <v>0</v>
      </c>
      <c r="N2219">
        <v>-226</v>
      </c>
      <c r="O2219">
        <v>-16</v>
      </c>
      <c r="P2219">
        <v>-226</v>
      </c>
      <c r="Q2219">
        <v>-16</v>
      </c>
      <c r="R2219" t="s">
        <v>0</v>
      </c>
      <c r="S2219" t="s">
        <v>0</v>
      </c>
      <c r="T2219" t="s">
        <v>0</v>
      </c>
    </row>
    <row r="2220" spans="1:20" x14ac:dyDescent="0.25">
      <c r="A2220">
        <v>21800388</v>
      </c>
      <c r="B2220" t="s">
        <v>10</v>
      </c>
      <c r="C2220" t="s">
        <v>9</v>
      </c>
      <c r="D2220">
        <v>25</v>
      </c>
      <c r="E2220">
        <v>18</v>
      </c>
      <c r="F2220">
        <v>7</v>
      </c>
      <c r="G2220">
        <v>1</v>
      </c>
      <c r="H2220" s="1">
        <v>2.4189814814814816E-3</v>
      </c>
      <c r="I2220">
        <v>2018</v>
      </c>
      <c r="J2220" t="s">
        <v>1</v>
      </c>
      <c r="K2220" s="2" t="str">
        <f>HYPERLINK("https://www.nba.com/stats/events?CFID=&amp;CFPARAMS=&amp;GameEventID=83&amp;GameID=0021800388&amp;Season=2018-19&amp;flag=1&amp;title=VanVleet%203PT%20Jump%20Shot%20(3%20PTS)%20(Leonard%201%20AST)", "VanVleet 3PT Jump Shot (3 PTS) (Leonard 1 AST)")</f>
        <v>VanVleet 3PT Jump Shot (3 PTS) (Leonard 1 AST)</v>
      </c>
      <c r="L2220" s="2" t="str">
        <f>HYPERLINK("https://www.nba.com/game/...-vs-...-0021800388/play-by-play?watchFullGame=true", "TOR vs MIL - Q1 03:29.00")</f>
        <v>TOR vs MIL - Q1 03:29.00</v>
      </c>
      <c r="M2220">
        <v>0</v>
      </c>
      <c r="N2220">
        <v>229</v>
      </c>
      <c r="O2220">
        <v>11</v>
      </c>
      <c r="P2220">
        <v>229</v>
      </c>
      <c r="Q2220">
        <v>11</v>
      </c>
      <c r="R2220" t="s">
        <v>0</v>
      </c>
      <c r="S2220" t="s">
        <v>0</v>
      </c>
      <c r="T2220" t="s">
        <v>0</v>
      </c>
    </row>
    <row r="2221" spans="1:20" x14ac:dyDescent="0.25">
      <c r="A2221">
        <v>21600782</v>
      </c>
      <c r="B2221" t="s">
        <v>10</v>
      </c>
      <c r="C2221" t="s">
        <v>9</v>
      </c>
      <c r="D2221">
        <v>48</v>
      </c>
      <c r="E2221">
        <v>38</v>
      </c>
      <c r="F2221">
        <v>10</v>
      </c>
      <c r="G2221">
        <v>2</v>
      </c>
      <c r="H2221" s="1">
        <v>3.425925925925926E-3</v>
      </c>
      <c r="I2221">
        <v>2016</v>
      </c>
      <c r="J2221" t="s">
        <v>7</v>
      </c>
      <c r="K2221" s="2" t="str">
        <f>HYPERLINK("https://www.nba.com/stats/events?CFID=&amp;CFPARAMS=&amp;GameEventID=185&amp;GameID=0021600782&amp;Season=2016-17&amp;flag=1&amp;title=Parker%20%203PT%20Jump%20Shot%20(9%20PTS)%20(Leonard%201%20AST)", "Parker  3PT Jump Shot (9 PTS) (Leonard 1 AST)")</f>
        <v>Parker  3PT Jump Shot (9 PTS) (Leonard 1 AST)</v>
      </c>
      <c r="L2221" s="2" t="str">
        <f>HYPERLINK("https://www.nba.com/game/...-vs-...-0021600782/play-by-play?watchFullGame=true", "SAS vs PHI - Q2 04:56.00")</f>
        <v>SAS vs PHI - Q2 04:56.00</v>
      </c>
      <c r="M2221">
        <v>0</v>
      </c>
      <c r="N2221">
        <v>230</v>
      </c>
      <c r="O2221">
        <v>-15</v>
      </c>
      <c r="P2221">
        <v>230</v>
      </c>
      <c r="Q2221">
        <v>-15</v>
      </c>
      <c r="R2221" t="s">
        <v>0</v>
      </c>
      <c r="S2221" t="s">
        <v>0</v>
      </c>
      <c r="T2221" t="s">
        <v>0</v>
      </c>
    </row>
    <row r="2222" spans="1:20" x14ac:dyDescent="0.25">
      <c r="A2222">
        <v>21600801</v>
      </c>
      <c r="B2222" t="s">
        <v>4</v>
      </c>
      <c r="C2222" t="s">
        <v>45</v>
      </c>
      <c r="D2222">
        <v>68</v>
      </c>
      <c r="E2222">
        <v>50</v>
      </c>
      <c r="F2222">
        <v>18</v>
      </c>
      <c r="G2222">
        <v>3</v>
      </c>
      <c r="H2222" s="1">
        <v>4.9884259259259257E-3</v>
      </c>
      <c r="I2222">
        <v>2016</v>
      </c>
      <c r="J2222" t="s">
        <v>7</v>
      </c>
      <c r="K2222" s="2" t="str">
        <f>HYPERLINK("https://www.nba.com/stats/events?CFID=&amp;CFPARAMS=&amp;GameEventID=264&amp;GameID=0021600801&amp;Season=2016-17&amp;flag=1&amp;title=Dedmon%20%20Alley%20Oop%20Dunk%20(15%20PTS)%20(Leonard%205%20AST)", "Dedmon  Alley Oop Dunk (15 PTS) (Leonard 5 AST)")</f>
        <v>Dedmon  Alley Oop Dunk (15 PTS) (Leonard 5 AST)</v>
      </c>
      <c r="L2222" s="2" t="str">
        <f>HYPERLINK("https://www.nba.com/game/...-vs-...-0021600801/play-by-play?watchFullGame=true", "SAS vs DET - Q3 07:11.00")</f>
        <v>SAS vs DET - Q3 07:11.00</v>
      </c>
      <c r="M2222">
        <v>0</v>
      </c>
      <c r="N2222">
        <v>0</v>
      </c>
      <c r="O2222">
        <v>1</v>
      </c>
      <c r="P2222">
        <v>0</v>
      </c>
      <c r="Q2222">
        <v>1</v>
      </c>
      <c r="R2222" t="s">
        <v>0</v>
      </c>
      <c r="S2222" t="s">
        <v>0</v>
      </c>
      <c r="T2222" t="s">
        <v>0</v>
      </c>
    </row>
    <row r="2223" spans="1:20" x14ac:dyDescent="0.25">
      <c r="A2223">
        <v>21600917</v>
      </c>
      <c r="B2223" t="s">
        <v>4</v>
      </c>
      <c r="C2223" t="s">
        <v>38</v>
      </c>
      <c r="D2223">
        <v>53</v>
      </c>
      <c r="E2223">
        <v>51</v>
      </c>
      <c r="F2223">
        <v>2</v>
      </c>
      <c r="G2223">
        <v>3</v>
      </c>
      <c r="H2223" s="1">
        <v>7.3842592592592597E-3</v>
      </c>
      <c r="I2223">
        <v>2016</v>
      </c>
      <c r="J2223" t="s">
        <v>7</v>
      </c>
      <c r="K2223" s="2" t="str">
        <f>HYPERLINK("https://www.nba.com/stats/events?CFID=&amp;CFPARAMS=&amp;GameEventID=254&amp;GameID=0021600917&amp;Season=2016-17&amp;flag=1&amp;title=Dedmon%20%20Dunk%20(4%20PTS)%20(Leonard%203%20AST)", "Dedmon  Dunk (4 PTS) (Leonard 3 AST)")</f>
        <v>Dedmon  Dunk (4 PTS) (Leonard 3 AST)</v>
      </c>
      <c r="L2223" s="2" t="str">
        <f>HYPERLINK("https://www.nba.com/game/...-vs-...-0021600917/play-by-play?watchFullGame=true", "SAS vs NOP - Q3 10:38.00")</f>
        <v>SAS vs NOP - Q3 10:38.00</v>
      </c>
      <c r="M2223">
        <v>0</v>
      </c>
      <c r="N2223">
        <v>0</v>
      </c>
      <c r="O2223">
        <v>1</v>
      </c>
      <c r="P2223">
        <v>0</v>
      </c>
      <c r="Q2223">
        <v>1</v>
      </c>
      <c r="R2223" t="s">
        <v>0</v>
      </c>
      <c r="S2223" t="s">
        <v>0</v>
      </c>
      <c r="T2223" t="s">
        <v>0</v>
      </c>
    </row>
    <row r="2224" spans="1:20" x14ac:dyDescent="0.25">
      <c r="A2224">
        <v>21600917</v>
      </c>
      <c r="B2224" t="s">
        <v>4</v>
      </c>
      <c r="C2224" t="s">
        <v>36</v>
      </c>
      <c r="D2224">
        <v>51</v>
      </c>
      <c r="E2224">
        <v>48</v>
      </c>
      <c r="F2224">
        <v>3</v>
      </c>
      <c r="G2224">
        <v>3</v>
      </c>
      <c r="H2224" s="1">
        <v>7.7314814814814815E-3</v>
      </c>
      <c r="I2224">
        <v>2016</v>
      </c>
      <c r="J2224" t="s">
        <v>7</v>
      </c>
      <c r="K2224" s="2" t="str">
        <f>HYPERLINK("https://www.nba.com/stats/events?CFID=&amp;CFPARAMS=&amp;GameEventID=252&amp;GameID=0021600917&amp;Season=2016-17&amp;flag=1&amp;title=Green%201'%20Running%20Layup%20(4%20PTS)%20(Leonard%202%20AST)", "Green 1' Running Layup (4 PTS) (Leonard 2 AST)")</f>
        <v>Green 1' Running Layup (4 PTS) (Leonard 2 AST)</v>
      </c>
      <c r="L2224" s="2" t="str">
        <f>HYPERLINK("https://www.nba.com/game/...-vs-...-0021600917/play-by-play?watchFullGame=true", "SAS vs NOP - Q3 11:08.00")</f>
        <v>SAS vs NOP - Q3 11:08.00</v>
      </c>
      <c r="M2224">
        <v>1</v>
      </c>
      <c r="N2224">
        <v>-12</v>
      </c>
      <c r="O2224">
        <v>8</v>
      </c>
      <c r="P2224">
        <v>-12</v>
      </c>
      <c r="Q2224">
        <v>8</v>
      </c>
      <c r="R2224" t="s">
        <v>0</v>
      </c>
      <c r="S2224" t="s">
        <v>0</v>
      </c>
      <c r="T2224" t="s">
        <v>0</v>
      </c>
    </row>
    <row r="2225" spans="1:20" x14ac:dyDescent="0.25">
      <c r="A2225">
        <v>21600942</v>
      </c>
      <c r="B2225" t="s">
        <v>10</v>
      </c>
      <c r="C2225" t="s">
        <v>9</v>
      </c>
      <c r="D2225">
        <v>56</v>
      </c>
      <c r="E2225">
        <v>67</v>
      </c>
      <c r="F2225">
        <v>11</v>
      </c>
      <c r="G2225">
        <v>3</v>
      </c>
      <c r="H2225" s="1">
        <v>5.8680555555555552E-3</v>
      </c>
      <c r="I2225">
        <v>2016</v>
      </c>
      <c r="J2225" t="s">
        <v>7</v>
      </c>
      <c r="K2225" s="2" t="str">
        <f>HYPERLINK("https://www.nba.com/stats/events?CFID=&amp;CFPARAMS=&amp;GameEventID=247&amp;GameID=0021600942&amp;Season=2016-17&amp;flag=1&amp;title=Parker%2024'%203PT%20Jump%20Shot%20(7%20PTS)%20(Leonard%202%20AST)", "Parker 24' 3PT Jump Shot (7 PTS) (Leonard 2 AST)")</f>
        <v>Parker 24' 3PT Jump Shot (7 PTS) (Leonard 2 AST)</v>
      </c>
      <c r="L2225" s="2" t="str">
        <f>HYPERLINK("https://www.nba.com/game/...-vs-...-0021600942/play-by-play?watchFullGame=true", "SAS vs HOU - Q3 08:27.00")</f>
        <v>SAS vs HOU - Q3 08:27.00</v>
      </c>
      <c r="M2225">
        <v>24</v>
      </c>
      <c r="N2225">
        <v>238</v>
      </c>
      <c r="O2225">
        <v>23</v>
      </c>
      <c r="P2225">
        <v>238</v>
      </c>
      <c r="Q2225">
        <v>23</v>
      </c>
      <c r="R2225" t="s">
        <v>0</v>
      </c>
      <c r="S2225" t="s">
        <v>0</v>
      </c>
      <c r="T2225" t="s">
        <v>0</v>
      </c>
    </row>
    <row r="2226" spans="1:20" x14ac:dyDescent="0.25">
      <c r="A2226">
        <v>21601085</v>
      </c>
      <c r="B2226" t="s">
        <v>4</v>
      </c>
      <c r="C2226" t="s">
        <v>5</v>
      </c>
      <c r="D2226">
        <v>72</v>
      </c>
      <c r="E2226">
        <v>61</v>
      </c>
      <c r="F2226">
        <v>11</v>
      </c>
      <c r="G2226">
        <v>3</v>
      </c>
      <c r="H2226" s="1">
        <v>2.673611111111111E-3</v>
      </c>
      <c r="I2226">
        <v>2016</v>
      </c>
      <c r="J2226" t="s">
        <v>7</v>
      </c>
      <c r="K2226" s="2" t="str">
        <f>HYPERLINK("https://www.nba.com/stats/events?CFID=&amp;CFPARAMS=&amp;GameEventID=331&amp;GameID=0021601085&amp;Season=2016-17&amp;flag=1&amp;title=Gasol%201'%20Layup%20(14%20PTS)%20(Leonard%202%20AST)", "Gasol 1' Layup (14 PTS) (Leonard 2 AST)")</f>
        <v>Gasol 1' Layup (14 PTS) (Leonard 2 AST)</v>
      </c>
      <c r="L2226" s="2" t="str">
        <f>HYPERLINK("https://www.nba.com/game/...-vs-...-0021601085/play-by-play?watchFullGame=true", "SAS vs NYK - Q3 03:51.00")</f>
        <v>SAS vs NYK - Q3 03:51.00</v>
      </c>
      <c r="M2226">
        <v>1</v>
      </c>
      <c r="N2226">
        <v>2</v>
      </c>
      <c r="O2226">
        <v>7</v>
      </c>
      <c r="P2226">
        <v>2</v>
      </c>
      <c r="Q2226">
        <v>7</v>
      </c>
      <c r="R2226" t="s">
        <v>0</v>
      </c>
      <c r="S2226" t="s">
        <v>0</v>
      </c>
      <c r="T2226" t="s">
        <v>0</v>
      </c>
    </row>
    <row r="2227" spans="1:20" x14ac:dyDescent="0.25">
      <c r="A2227">
        <v>21601085</v>
      </c>
      <c r="B2227" t="s">
        <v>4</v>
      </c>
      <c r="C2227" t="s">
        <v>19</v>
      </c>
      <c r="D2227">
        <v>78</v>
      </c>
      <c r="E2227">
        <v>72</v>
      </c>
      <c r="F2227">
        <v>6</v>
      </c>
      <c r="G2227">
        <v>3</v>
      </c>
      <c r="H2227" s="1">
        <v>2.2800925925925926E-4</v>
      </c>
      <c r="I2227">
        <v>2016</v>
      </c>
      <c r="J2227" t="s">
        <v>7</v>
      </c>
      <c r="K2227" s="2" t="str">
        <f>HYPERLINK("https://www.nba.com/stats/events?CFID=&amp;CFPARAMS=&amp;GameEventID=370&amp;GameID=0021601085&amp;Season=2016-17&amp;flag=1&amp;title=Parker%209'%20Pullup%20Jump%20Shot%20(8%20PTS)%20(Leonard%204%20AST)", "Parker 9' Pullup Jump Shot (8 PTS) (Leonard 4 AST)")</f>
        <v>Parker 9' Pullup Jump Shot (8 PTS) (Leonard 4 AST)</v>
      </c>
      <c r="L2227" s="2" t="str">
        <f>HYPERLINK("https://www.nba.com/game/...-vs-...-0021601085/play-by-play?watchFullGame=true", "SAS vs NYK - Q3 00:19.70")</f>
        <v>SAS vs NYK - Q3 00:19.70</v>
      </c>
      <c r="M2227">
        <v>9</v>
      </c>
      <c r="N2227">
        <v>-68</v>
      </c>
      <c r="O2227">
        <v>57</v>
      </c>
      <c r="P2227">
        <v>-68</v>
      </c>
      <c r="Q2227">
        <v>57</v>
      </c>
      <c r="R2227" t="s">
        <v>0</v>
      </c>
      <c r="S2227" t="s">
        <v>0</v>
      </c>
      <c r="T2227" t="s">
        <v>0</v>
      </c>
    </row>
    <row r="2228" spans="1:20" x14ac:dyDescent="0.25">
      <c r="A2228">
        <v>21700246</v>
      </c>
      <c r="B2228" t="s">
        <v>10</v>
      </c>
      <c r="C2228" t="s">
        <v>9</v>
      </c>
      <c r="D2228">
        <v>17</v>
      </c>
      <c r="E2228">
        <v>21</v>
      </c>
      <c r="F2228">
        <v>4</v>
      </c>
      <c r="G2228">
        <v>1</v>
      </c>
      <c r="H2228" s="1">
        <v>1.25E-3</v>
      </c>
      <c r="I2228">
        <v>2017</v>
      </c>
      <c r="J2228" t="s">
        <v>12</v>
      </c>
      <c r="K2228" s="2" t="str">
        <f>HYPERLINK("https://www.nba.com/stats/events?CFID=&amp;CFPARAMS=&amp;GameEventID=129&amp;GameID=0021700246&amp;Season=2017-18&amp;flag=1&amp;title=Connaughton%2027'%203PT%20Jump%20Shot%20(3%20PTS)%20(Leonard%201%20AST)", "Connaughton 27' 3PT Jump Shot (3 PTS) (Leonard 1 AST)")</f>
        <v>Connaughton 27' 3PT Jump Shot (3 PTS) (Leonard 1 AST)</v>
      </c>
      <c r="L2228" s="2" t="str">
        <f>HYPERLINK("https://www.nba.com/game/...-vs-...-0021700246/play-by-play?watchFullGame=true", "POR vs MEM - Q1 01:48.00")</f>
        <v>POR vs MEM - Q1 01:48.00</v>
      </c>
      <c r="M2228">
        <v>27</v>
      </c>
      <c r="N2228">
        <v>81</v>
      </c>
      <c r="O2228">
        <v>261</v>
      </c>
      <c r="P2228">
        <v>81</v>
      </c>
      <c r="Q2228">
        <v>261</v>
      </c>
      <c r="R2228" t="s">
        <v>0</v>
      </c>
      <c r="S2228" t="s">
        <v>0</v>
      </c>
      <c r="T2228" t="s">
        <v>0</v>
      </c>
    </row>
    <row r="2229" spans="1:20" x14ac:dyDescent="0.25">
      <c r="A2229">
        <v>21601085</v>
      </c>
      <c r="B2229" t="s">
        <v>4</v>
      </c>
      <c r="C2229" t="s">
        <v>6</v>
      </c>
      <c r="D2229">
        <v>76</v>
      </c>
      <c r="E2229">
        <v>68</v>
      </c>
      <c r="F2229">
        <v>8</v>
      </c>
      <c r="G2229">
        <v>3</v>
      </c>
      <c r="H2229" s="1">
        <v>1.25E-3</v>
      </c>
      <c r="I2229">
        <v>2016</v>
      </c>
      <c r="J2229" t="s">
        <v>7</v>
      </c>
      <c r="K2229" s="2" t="str">
        <f>HYPERLINK("https://www.nba.com/stats/events?CFID=&amp;CFPARAMS=&amp;GameEventID=353&amp;GameID=0021601085&amp;Season=2016-17&amp;flag=1&amp;title=Aldridge%20%20Cutting%20Dunk%20Shot%20(19%20PTS)%20(Leonard%203%20AST)", "Aldridge  Cutting Dunk Shot (19 PTS) (Leonard 3 AST)")</f>
        <v>Aldridge  Cutting Dunk Shot (19 PTS) (Leonard 3 AST)</v>
      </c>
      <c r="L2229" s="2" t="str">
        <f>HYPERLINK("https://www.nba.com/game/...-vs-...-0021601085/play-by-play?watchFullGame=true", "SAS vs NYK - Q3 01:48.00")</f>
        <v>SAS vs NYK - Q3 01:48.00</v>
      </c>
      <c r="M2229">
        <v>0</v>
      </c>
      <c r="N2229">
        <v>0</v>
      </c>
      <c r="O2229">
        <v>1</v>
      </c>
      <c r="P2229">
        <v>0</v>
      </c>
      <c r="Q2229">
        <v>1</v>
      </c>
      <c r="R2229" t="s">
        <v>0</v>
      </c>
      <c r="S2229" t="s">
        <v>0</v>
      </c>
      <c r="T2229" t="s">
        <v>0</v>
      </c>
    </row>
    <row r="2230" spans="1:20" x14ac:dyDescent="0.25">
      <c r="A2230">
        <v>21601193</v>
      </c>
      <c r="B2230" t="s">
        <v>4</v>
      </c>
      <c r="C2230" t="s">
        <v>6</v>
      </c>
      <c r="D2230">
        <v>4</v>
      </c>
      <c r="E2230">
        <v>5</v>
      </c>
      <c r="F2230">
        <v>1</v>
      </c>
      <c r="G2230">
        <v>1</v>
      </c>
      <c r="H2230" s="1">
        <v>7.1527777777777779E-3</v>
      </c>
      <c r="I2230">
        <v>2016</v>
      </c>
      <c r="J2230" t="s">
        <v>7</v>
      </c>
      <c r="K2230" s="2" t="str">
        <f>HYPERLINK("https://www.nba.com/stats/events?CFID=&amp;CFPARAMS=&amp;GameEventID=13&amp;GameID=0021601193&amp;Season=2016-17&amp;flag=1&amp;title=Dedmon%20Cutting%20Dunk%20Shot%20(2%20PTS)%20(Leonard%201%20AST)", "Dedmon Cutting Dunk Shot (2 PTS) (Leonard 1 AST)")</f>
        <v>Dedmon Cutting Dunk Shot (2 PTS) (Leonard 1 AST)</v>
      </c>
      <c r="L2230" s="2" t="str">
        <f>HYPERLINK("https://www.nba.com/game/...-vs-...-0021601193/play-by-play?watchFullGame=true", "SAS vs LAC - Q1 10:18.00")</f>
        <v>SAS vs LAC - Q1 10:18.00</v>
      </c>
      <c r="M2230">
        <v>0</v>
      </c>
      <c r="N2230">
        <v>0</v>
      </c>
      <c r="O2230">
        <v>1</v>
      </c>
      <c r="P2230">
        <v>0</v>
      </c>
      <c r="Q2230">
        <v>1</v>
      </c>
      <c r="R2230" t="s">
        <v>0</v>
      </c>
      <c r="S2230" t="s">
        <v>0</v>
      </c>
      <c r="T2230" t="s">
        <v>0</v>
      </c>
    </row>
    <row r="2231" spans="1:20" x14ac:dyDescent="0.25">
      <c r="A2231">
        <v>21601193</v>
      </c>
      <c r="B2231" t="s">
        <v>4</v>
      </c>
      <c r="C2231" t="s">
        <v>38</v>
      </c>
      <c r="D2231">
        <v>85</v>
      </c>
      <c r="E2231">
        <v>94</v>
      </c>
      <c r="F2231">
        <v>9</v>
      </c>
      <c r="G2231">
        <v>4</v>
      </c>
      <c r="H2231" s="1">
        <v>3.2291666666666666E-3</v>
      </c>
      <c r="I2231">
        <v>2016</v>
      </c>
      <c r="J2231" t="s">
        <v>7</v>
      </c>
      <c r="K2231" s="2" t="str">
        <f>HYPERLINK("https://www.nba.com/stats/events?CFID=&amp;CFPARAMS=&amp;GameEventID=427&amp;GameID=0021601193&amp;Season=2016-17&amp;flag=1&amp;title=Lee%20Dunk%20(6%20PTS)%20(Leonard%205%20AST)", "Lee Dunk (6 PTS) (Leonard 5 AST)")</f>
        <v>Lee Dunk (6 PTS) (Leonard 5 AST)</v>
      </c>
      <c r="L2231" s="2" t="str">
        <f>HYPERLINK("https://www.nba.com/game/...-vs-...-0021601193/play-by-play?watchFullGame=true", "SAS vs LAC - Q4 04:39.00")</f>
        <v>SAS vs LAC - Q4 04:39.00</v>
      </c>
      <c r="M2231">
        <v>0</v>
      </c>
      <c r="N2231">
        <v>0</v>
      </c>
      <c r="O2231">
        <v>1</v>
      </c>
      <c r="P2231">
        <v>0</v>
      </c>
      <c r="Q2231">
        <v>1</v>
      </c>
      <c r="R2231" t="s">
        <v>0</v>
      </c>
      <c r="S2231" t="s">
        <v>0</v>
      </c>
      <c r="T2231" t="s">
        <v>0</v>
      </c>
    </row>
    <row r="2232" spans="1:20" x14ac:dyDescent="0.25">
      <c r="A2232">
        <v>21700530</v>
      </c>
      <c r="B2232" t="s">
        <v>4</v>
      </c>
      <c r="C2232" t="s">
        <v>38</v>
      </c>
      <c r="D2232">
        <v>47</v>
      </c>
      <c r="E2232">
        <v>54</v>
      </c>
      <c r="F2232">
        <v>7</v>
      </c>
      <c r="G2232">
        <v>3</v>
      </c>
      <c r="H2232" s="1">
        <v>3.6458333333333334E-3</v>
      </c>
      <c r="I2232">
        <v>2017</v>
      </c>
      <c r="J2232" t="s">
        <v>7</v>
      </c>
      <c r="K2232" s="2" t="str">
        <f>HYPERLINK("https://www.nba.com/stats/events?CFID=&amp;CFPARAMS=&amp;GameEventID=377&amp;GameID=0021700530&amp;Season=2017-18&amp;flag=1&amp;title=Aldridge%201'%20Dunk%20(15%20PTS)%20(Leonard%203%20AST)", "Aldridge 1' Dunk (15 PTS) (Leonard 3 AST)")</f>
        <v>Aldridge 1' Dunk (15 PTS) (Leonard 3 AST)</v>
      </c>
      <c r="L2232" s="2" t="str">
        <f>HYPERLINK("https://www.nba.com/game/...-vs-...-0021700530/play-by-play?watchFullGame=true", "SAS vs DET - Q3 05:15.00")</f>
        <v>SAS vs DET - Q3 05:15.00</v>
      </c>
      <c r="M2232">
        <v>1</v>
      </c>
      <c r="N2232">
        <v>5</v>
      </c>
      <c r="O2232">
        <v>13</v>
      </c>
      <c r="P2232">
        <v>5</v>
      </c>
      <c r="Q2232">
        <v>13</v>
      </c>
      <c r="R2232" t="s">
        <v>0</v>
      </c>
      <c r="S2232" t="s">
        <v>0</v>
      </c>
      <c r="T2232" t="s">
        <v>0</v>
      </c>
    </row>
    <row r="2233" spans="1:20" x14ac:dyDescent="0.25">
      <c r="A2233">
        <v>21700573</v>
      </c>
      <c r="B2233" t="s">
        <v>4</v>
      </c>
      <c r="C2233" t="s">
        <v>28</v>
      </c>
      <c r="D2233">
        <v>12</v>
      </c>
      <c r="E2233">
        <v>9</v>
      </c>
      <c r="F2233">
        <v>3</v>
      </c>
      <c r="G2233">
        <v>1</v>
      </c>
      <c r="H2233" s="1">
        <v>5.37037037037037E-3</v>
      </c>
      <c r="I2233">
        <v>2017</v>
      </c>
      <c r="J2233" t="s">
        <v>7</v>
      </c>
      <c r="K2233" s="2" t="str">
        <f>HYPERLINK("https://www.nba.com/stats/events?CFID=&amp;CFPARAMS=&amp;GameEventID=52&amp;GameID=0021700573&amp;Season=2017-18&amp;flag=1&amp;title=Forbes%201'%20Driving%20Finger%20Roll%20Layup%20(5%20PTS)%20(Leonard%202%20AST)", "Forbes 1' Driving Finger Roll Layup (5 PTS) (Leonard 2 AST)")</f>
        <v>Forbes 1' Driving Finger Roll Layup (5 PTS) (Leonard 2 AST)</v>
      </c>
      <c r="L2233" s="2" t="str">
        <f>HYPERLINK("https://www.nba.com/game/...-vs-...-0021700573/play-by-play?watchFullGame=true", "SAS vs PHX - Q1 07:44.00")</f>
        <v>SAS vs PHX - Q1 07:44.00</v>
      </c>
      <c r="M2233">
        <v>1</v>
      </c>
      <c r="N2233">
        <v>-11</v>
      </c>
      <c r="O2233">
        <v>5</v>
      </c>
      <c r="P2233">
        <v>-11</v>
      </c>
      <c r="Q2233">
        <v>5</v>
      </c>
      <c r="R2233" t="s">
        <v>0</v>
      </c>
      <c r="S2233" t="s">
        <v>0</v>
      </c>
      <c r="T2233" t="s">
        <v>0</v>
      </c>
    </row>
    <row r="2234" spans="1:20" x14ac:dyDescent="0.25">
      <c r="A2234">
        <v>21701154</v>
      </c>
      <c r="B2234" t="s">
        <v>4</v>
      </c>
      <c r="C2234" t="s">
        <v>28</v>
      </c>
      <c r="D2234">
        <v>17</v>
      </c>
      <c r="E2234">
        <v>7</v>
      </c>
      <c r="F2234">
        <v>10</v>
      </c>
      <c r="G2234">
        <v>1</v>
      </c>
      <c r="H2234" s="1">
        <v>4.2245370370370371E-3</v>
      </c>
      <c r="I2234">
        <v>2017</v>
      </c>
      <c r="J2234" t="s">
        <v>12</v>
      </c>
      <c r="K2234" s="2" t="str">
        <f>HYPERLINK("https://www.nba.com/stats/events?CFID=&amp;CFPARAMS=&amp;GameEventID=69&amp;GameID=0021701154&amp;Season=2017-18&amp;flag=1&amp;title=McCollum%202'%20Driving%20Finger%20Roll%20Layup%20(2%20PTS)%20(Leonard%201%20AST)", "McCollum 2' Driving Finger Roll Layup (2 PTS) (Leonard 1 AST)")</f>
        <v>McCollum 2' Driving Finger Roll Layup (2 PTS) (Leonard 1 AST)</v>
      </c>
      <c r="L2234" s="2" t="str">
        <f>HYPERLINK("https://www.nba.com/game/...-vs-...-0021701154/play-by-play?watchFullGame=true", "POR vs MEM - Q1 06:05.00")</f>
        <v>POR vs MEM - Q1 06:05.00</v>
      </c>
      <c r="M2234">
        <v>2</v>
      </c>
      <c r="N2234">
        <v>2</v>
      </c>
      <c r="O2234">
        <v>18</v>
      </c>
      <c r="P2234">
        <v>2</v>
      </c>
      <c r="Q2234">
        <v>18</v>
      </c>
      <c r="R2234" t="s">
        <v>0</v>
      </c>
      <c r="S2234" t="s">
        <v>0</v>
      </c>
      <c r="T2234" t="s">
        <v>0</v>
      </c>
    </row>
    <row r="2235" spans="1:20" x14ac:dyDescent="0.25">
      <c r="A2235">
        <v>21800100</v>
      </c>
      <c r="B2235" t="s">
        <v>4</v>
      </c>
      <c r="C2235" t="s">
        <v>9</v>
      </c>
      <c r="D2235">
        <v>119</v>
      </c>
      <c r="E2235">
        <v>111</v>
      </c>
      <c r="F2235">
        <v>8</v>
      </c>
      <c r="G2235">
        <v>4</v>
      </c>
      <c r="H2235" s="1">
        <v>2.1412037037037038E-3</v>
      </c>
      <c r="I2235">
        <v>2018</v>
      </c>
      <c r="J2235" t="s">
        <v>1</v>
      </c>
      <c r="K2235" s="2" t="str">
        <f>HYPERLINK("https://www.nba.com/stats/events?CFID=&amp;CFPARAMS=&amp;GameEventID=714&amp;GameID=0021800100&amp;Season=2018-19&amp;flag=1&amp;title=Ibaka%2016'%20Jump%20Shot%20(16%20PTS)%20(Leonard%203%20AST)", "Ibaka 16' Jump Shot (16 PTS) (Leonard 3 AST)")</f>
        <v>Ibaka 16' Jump Shot (16 PTS) (Leonard 3 AST)</v>
      </c>
      <c r="L2235" s="2" t="str">
        <f>HYPERLINK("https://www.nba.com/game/...-vs-...-0021800100/play-by-play?watchFullGame=true", "TOR vs PHI - Q4 03:05.00")</f>
        <v>TOR vs PHI - Q4 03:05.00</v>
      </c>
      <c r="M2235">
        <v>16</v>
      </c>
      <c r="N2235">
        <v>1</v>
      </c>
      <c r="O2235">
        <v>157</v>
      </c>
      <c r="P2235">
        <v>1</v>
      </c>
      <c r="Q2235">
        <v>157</v>
      </c>
      <c r="R2235" t="s">
        <v>0</v>
      </c>
      <c r="S2235" t="s">
        <v>0</v>
      </c>
      <c r="T2235" t="s">
        <v>0</v>
      </c>
    </row>
    <row r="2236" spans="1:20" x14ac:dyDescent="0.25">
      <c r="A2236">
        <v>21800165</v>
      </c>
      <c r="B2236" t="s">
        <v>10</v>
      </c>
      <c r="C2236" t="s">
        <v>9</v>
      </c>
      <c r="D2236">
        <v>91</v>
      </c>
      <c r="E2236">
        <v>83</v>
      </c>
      <c r="F2236">
        <v>8</v>
      </c>
      <c r="G2236">
        <v>4</v>
      </c>
      <c r="H2236" s="1">
        <v>6.9675925925925929E-3</v>
      </c>
      <c r="I2236">
        <v>2018</v>
      </c>
      <c r="J2236" t="s">
        <v>12</v>
      </c>
      <c r="K2236" s="2" t="str">
        <f>HYPERLINK("https://www.nba.com/stats/events?CFID=&amp;CFPARAMS=&amp;GameEventID=527&amp;GameID=0021800165&amp;Season=2018-19&amp;flag=1&amp;title=Curry%2025'%203PT%20Jump%20Shot%20(5%20PTS)%20(Leonard%201%20AST)", "Curry 25' 3PT Jump Shot (5 PTS) (Leonard 1 AST)")</f>
        <v>Curry 25' 3PT Jump Shot (5 PTS) (Leonard 1 AST)</v>
      </c>
      <c r="L2236" s="2" t="str">
        <f>HYPERLINK("https://www.nba.com/game/...-vs-...-0021800165/play-by-play?watchFullGame=true", "POR vs LAC - Q4 10:02.00")</f>
        <v>POR vs LAC - Q4 10:02.00</v>
      </c>
      <c r="M2236">
        <v>25</v>
      </c>
      <c r="N2236">
        <v>111</v>
      </c>
      <c r="O2236">
        <v>227</v>
      </c>
      <c r="P2236">
        <v>111</v>
      </c>
      <c r="Q2236">
        <v>227</v>
      </c>
      <c r="R2236" t="s">
        <v>0</v>
      </c>
      <c r="S2236" t="s">
        <v>0</v>
      </c>
      <c r="T2236" t="s">
        <v>0</v>
      </c>
    </row>
    <row r="2237" spans="1:20" x14ac:dyDescent="0.25">
      <c r="A2237">
        <v>21600727</v>
      </c>
      <c r="B2237" t="s">
        <v>4</v>
      </c>
      <c r="C2237" t="s">
        <v>38</v>
      </c>
      <c r="D2237">
        <v>43</v>
      </c>
      <c r="E2237">
        <v>28</v>
      </c>
      <c r="F2237">
        <v>15</v>
      </c>
      <c r="G2237">
        <v>2</v>
      </c>
      <c r="H2237" s="1">
        <v>3.1828703703703702E-3</v>
      </c>
      <c r="I2237">
        <v>2016</v>
      </c>
      <c r="J2237" t="s">
        <v>7</v>
      </c>
      <c r="K2237" s="2" t="str">
        <f>HYPERLINK("https://www.nba.com/stats/events?CFID=&amp;CFPARAMS=&amp;GameEventID=290&amp;GameID=0021600727&amp;Season=2016-17&amp;flag=1&amp;title=Dedmon%20%20Dunk%20(6%20PTS)%20(Leonard%202%20AST)", "Dedmon  Dunk (6 PTS) (Leonard 2 AST)")</f>
        <v>Dedmon  Dunk (6 PTS) (Leonard 2 AST)</v>
      </c>
      <c r="L2237" s="2" t="str">
        <f>HYPERLINK("https://www.nba.com/game/...-vs-...-0021600727/play-by-play?watchFullGame=true", "SAS vs OKC - Q2 04:35.00")</f>
        <v>SAS vs OKC - Q2 04:35.00</v>
      </c>
      <c r="M2237">
        <v>0</v>
      </c>
      <c r="N2237">
        <v>0</v>
      </c>
      <c r="O2237">
        <v>1</v>
      </c>
      <c r="P2237">
        <v>0</v>
      </c>
      <c r="Q2237">
        <v>1</v>
      </c>
      <c r="R2237" t="s">
        <v>0</v>
      </c>
      <c r="S2237" t="s">
        <v>0</v>
      </c>
      <c r="T2237" t="s">
        <v>0</v>
      </c>
    </row>
    <row r="2238" spans="1:20" x14ac:dyDescent="0.25">
      <c r="A2238">
        <v>21600782</v>
      </c>
      <c r="B2238" t="s">
        <v>4</v>
      </c>
      <c r="C2238" t="s">
        <v>48</v>
      </c>
      <c r="D2238">
        <v>89</v>
      </c>
      <c r="E2238">
        <v>85</v>
      </c>
      <c r="F2238">
        <v>4</v>
      </c>
      <c r="G2238">
        <v>4</v>
      </c>
      <c r="H2238" s="1">
        <v>4.9074074074074072E-3</v>
      </c>
      <c r="I2238">
        <v>2016</v>
      </c>
      <c r="J2238" t="s">
        <v>7</v>
      </c>
      <c r="K2238" s="2" t="str">
        <f>HYPERLINK("https://www.nba.com/stats/events?CFID=&amp;CFPARAMS=&amp;GameEventID=429&amp;GameID=0021600782&amp;Season=2016-17&amp;flag=1&amp;title=Parker%2014'%20Driving%20Bank%20Shot%20(13%20PTS)%20(Leonard%205%20AST)", "Parker 14' Driving Bank Shot (13 PTS) (Leonard 5 AST)")</f>
        <v>Parker 14' Driving Bank Shot (13 PTS) (Leonard 5 AST)</v>
      </c>
      <c r="L2238" s="2" t="str">
        <f>HYPERLINK("https://www.nba.com/game/...-vs-...-0021600782/play-by-play?watchFullGame=true", "SAS vs PHI - Q4 07:04.00")</f>
        <v>SAS vs PHI - Q4 07:04.00</v>
      </c>
      <c r="M2238">
        <v>14</v>
      </c>
      <c r="N2238">
        <v>-125</v>
      </c>
      <c r="O2238">
        <v>57</v>
      </c>
      <c r="P2238">
        <v>-125</v>
      </c>
      <c r="Q2238">
        <v>57</v>
      </c>
      <c r="R2238" t="s">
        <v>0</v>
      </c>
      <c r="S2238" t="s">
        <v>0</v>
      </c>
      <c r="T2238" t="s">
        <v>0</v>
      </c>
    </row>
    <row r="2239" spans="1:20" x14ac:dyDescent="0.25">
      <c r="A2239">
        <v>21600817</v>
      </c>
      <c r="B2239" t="s">
        <v>4</v>
      </c>
      <c r="C2239" t="s">
        <v>38</v>
      </c>
      <c r="D2239">
        <v>30</v>
      </c>
      <c r="E2239">
        <v>26</v>
      </c>
      <c r="F2239">
        <v>4</v>
      </c>
      <c r="G2239">
        <v>2</v>
      </c>
      <c r="H2239" s="1">
        <v>6.099537037037037E-3</v>
      </c>
      <c r="I2239">
        <v>2016</v>
      </c>
      <c r="J2239" t="s">
        <v>7</v>
      </c>
      <c r="K2239" s="2" t="str">
        <f>HYPERLINK("https://www.nba.com/stats/events?CFID=&amp;CFPARAMS=&amp;GameEventID=143&amp;GameID=0021600817&amp;Season=2016-17&amp;flag=1&amp;title=Dedmon%20%20Dunk%20(3%20PTS)%20(Leonard%201%20AST)", "Dedmon  Dunk (3 PTS) (Leonard 1 AST)")</f>
        <v>Dedmon  Dunk (3 PTS) (Leonard 1 AST)</v>
      </c>
      <c r="L2239" s="2" t="str">
        <f>HYPERLINK("https://www.nba.com/game/...-vs-...-0021600817/play-by-play?watchFullGame=true", "SAS vs NYK - Q2 08:47.00")</f>
        <v>SAS vs NYK - Q2 08:47.00</v>
      </c>
      <c r="M2239">
        <v>0</v>
      </c>
      <c r="N2239">
        <v>0</v>
      </c>
      <c r="O2239">
        <v>1</v>
      </c>
      <c r="P2239">
        <v>0</v>
      </c>
      <c r="Q2239">
        <v>1</v>
      </c>
      <c r="R2239" t="s">
        <v>0</v>
      </c>
      <c r="S2239" t="s">
        <v>0</v>
      </c>
      <c r="T2239" t="s">
        <v>0</v>
      </c>
    </row>
    <row r="2240" spans="1:20" x14ac:dyDescent="0.25">
      <c r="A2240">
        <v>21600830</v>
      </c>
      <c r="B2240" t="s">
        <v>10</v>
      </c>
      <c r="C2240" t="s">
        <v>9</v>
      </c>
      <c r="D2240">
        <v>5</v>
      </c>
      <c r="E2240">
        <v>2</v>
      </c>
      <c r="F2240">
        <v>3</v>
      </c>
      <c r="G2240">
        <v>1</v>
      </c>
      <c r="H2240" s="1">
        <v>7.0486111111111114E-3</v>
      </c>
      <c r="I2240">
        <v>2016</v>
      </c>
      <c r="J2240" t="s">
        <v>12</v>
      </c>
      <c r="K2240" s="2" t="str">
        <f>HYPERLINK("https://www.nba.com/stats/events?CFID=&amp;CFPARAMS=&amp;GameEventID=11&amp;GameID=0021600830&amp;Season=2016-17&amp;flag=1&amp;title=Harkless%2025'%203PT%20Jump%20Shot%20(3%20PTS)%20(Leonard%201%20AST)", "Harkless 25' 3PT Jump Shot (3 PTS) (Leonard 1 AST)")</f>
        <v>Harkless 25' 3PT Jump Shot (3 PTS) (Leonard 1 AST)</v>
      </c>
      <c r="L2240" s="2" t="str">
        <f>HYPERLINK("https://www.nba.com/game/...-vs-...-0021600830/play-by-play?watchFullGame=true", "POR vs ATL - Q1 10:09.00")</f>
        <v>POR vs ATL - Q1 10:09.00</v>
      </c>
      <c r="M2240">
        <v>25</v>
      </c>
      <c r="N2240">
        <v>245</v>
      </c>
      <c r="O2240">
        <v>16</v>
      </c>
      <c r="P2240">
        <v>245</v>
      </c>
      <c r="Q2240">
        <v>16</v>
      </c>
      <c r="R2240" t="s">
        <v>0</v>
      </c>
      <c r="S2240" t="s">
        <v>0</v>
      </c>
      <c r="T2240" t="s">
        <v>0</v>
      </c>
    </row>
    <row r="2241" spans="1:20" x14ac:dyDescent="0.25">
      <c r="A2241">
        <v>21600865</v>
      </c>
      <c r="B2241" t="s">
        <v>10</v>
      </c>
      <c r="C2241" t="s">
        <v>9</v>
      </c>
      <c r="D2241">
        <v>35</v>
      </c>
      <c r="E2241">
        <v>35</v>
      </c>
      <c r="F2241">
        <v>0</v>
      </c>
      <c r="G2241">
        <v>2</v>
      </c>
      <c r="H2241" s="1">
        <v>2.673611111111111E-3</v>
      </c>
      <c r="I2241">
        <v>2016</v>
      </c>
      <c r="J2241" t="s">
        <v>7</v>
      </c>
      <c r="K2241" s="2" t="str">
        <f>HYPERLINK("https://www.nba.com/stats/events?CFID=&amp;CFPARAMS=&amp;GameEventID=200&amp;GameID=0021600865&amp;Season=2016-17&amp;flag=1&amp;title=Parker%20%203PT%20Jump%20Shot%20(7%20PTS)%20(Leonard%205%20AST)", "Parker  3PT Jump Shot (7 PTS) (Leonard 5 AST)")</f>
        <v>Parker  3PT Jump Shot (7 PTS) (Leonard 5 AST)</v>
      </c>
      <c r="L2241" s="2" t="str">
        <f>HYPERLINK("https://www.nba.com/game/...-vs-...-0021600865/play-by-play?watchFullGame=true", "SAS vs LAC - Q2 03:51.00")</f>
        <v>SAS vs LAC - Q2 03:51.00</v>
      </c>
      <c r="M2241">
        <v>0</v>
      </c>
      <c r="N2241">
        <v>-225</v>
      </c>
      <c r="O2241">
        <v>41</v>
      </c>
      <c r="P2241">
        <v>-225</v>
      </c>
      <c r="Q2241">
        <v>41</v>
      </c>
      <c r="R2241" t="s">
        <v>0</v>
      </c>
      <c r="S2241" t="s">
        <v>0</v>
      </c>
      <c r="T2241" t="s">
        <v>0</v>
      </c>
    </row>
    <row r="2242" spans="1:20" x14ac:dyDescent="0.25">
      <c r="A2242">
        <v>21600878</v>
      </c>
      <c r="B2242" t="s">
        <v>10</v>
      </c>
      <c r="C2242" t="s">
        <v>9</v>
      </c>
      <c r="D2242">
        <v>40</v>
      </c>
      <c r="E2242">
        <v>31</v>
      </c>
      <c r="F2242">
        <v>9</v>
      </c>
      <c r="G2242">
        <v>2</v>
      </c>
      <c r="H2242" s="1">
        <v>5.092592592592593E-3</v>
      </c>
      <c r="I2242">
        <v>2016</v>
      </c>
      <c r="J2242" t="s">
        <v>12</v>
      </c>
      <c r="K2242" s="2" t="str">
        <f>HYPERLINK("https://www.nba.com/stats/events?CFID=&amp;CFPARAMS=&amp;GameEventID=197&amp;GameID=0021600878&amp;Season=2016-17&amp;flag=1&amp;title=Napier%20%203PT%20Jump%20Shot%20(3%20PTS)%20(Leonard%202%20AST)", "Napier  3PT Jump Shot (3 PTS) (Leonard 2 AST)")</f>
        <v>Napier  3PT Jump Shot (3 PTS) (Leonard 2 AST)</v>
      </c>
      <c r="L2242" s="2" t="str">
        <f>HYPERLINK("https://www.nba.com/game/...-vs-...-0021600878/play-by-play?watchFullGame=true", "POR vs TOR - Q2 07:20.00")</f>
        <v>POR vs TOR - Q2 07:20.00</v>
      </c>
      <c r="M2242">
        <v>0</v>
      </c>
      <c r="N2242">
        <v>-227</v>
      </c>
      <c r="O2242">
        <v>0</v>
      </c>
      <c r="P2242">
        <v>-227</v>
      </c>
      <c r="Q2242">
        <v>0</v>
      </c>
      <c r="R2242" t="s">
        <v>0</v>
      </c>
      <c r="S2242" t="s">
        <v>0</v>
      </c>
      <c r="T2242" t="s">
        <v>0</v>
      </c>
    </row>
    <row r="2243" spans="1:20" x14ac:dyDescent="0.25">
      <c r="A2243">
        <v>21600925</v>
      </c>
      <c r="B2243" t="s">
        <v>4</v>
      </c>
      <c r="C2243" t="s">
        <v>41</v>
      </c>
      <c r="D2243">
        <v>9</v>
      </c>
      <c r="E2243">
        <v>13</v>
      </c>
      <c r="F2243">
        <v>4</v>
      </c>
      <c r="G2243">
        <v>1</v>
      </c>
      <c r="H2243" s="1">
        <v>3.9351851851851848E-3</v>
      </c>
      <c r="I2243">
        <v>2016</v>
      </c>
      <c r="J2243" t="s">
        <v>7</v>
      </c>
      <c r="K2243" s="2" t="str">
        <f>HYPERLINK("https://www.nba.com/stats/events?CFID=&amp;CFPARAMS=&amp;GameEventID=67&amp;GameID=0021600925&amp;Season=2016-17&amp;flag=1&amp;title=Lee%205'%20Turnaround%20Jump%20Shot%20(2%20PTS)%20(Leonard%201%20AST)", "Lee 5' Turnaround Jump Shot (2 PTS) (Leonard 1 AST)")</f>
        <v>Lee 5' Turnaround Jump Shot (2 PTS) (Leonard 1 AST)</v>
      </c>
      <c r="L2243" s="2" t="str">
        <f>HYPERLINK("https://www.nba.com/game/...-vs-...-0021600925/play-by-play?watchFullGame=true", "SAS vs MIN - Q1 05:40.00")</f>
        <v>SAS vs MIN - Q1 05:40.00</v>
      </c>
      <c r="M2243">
        <v>5</v>
      </c>
      <c r="N2243">
        <v>2</v>
      </c>
      <c r="O2243">
        <v>46</v>
      </c>
      <c r="P2243">
        <v>2</v>
      </c>
      <c r="Q2243">
        <v>46</v>
      </c>
      <c r="R2243" t="s">
        <v>0</v>
      </c>
      <c r="S2243" t="s">
        <v>0</v>
      </c>
      <c r="T2243" t="s">
        <v>0</v>
      </c>
    </row>
    <row r="2244" spans="1:20" x14ac:dyDescent="0.25">
      <c r="A2244">
        <v>21600994</v>
      </c>
      <c r="B2244" t="s">
        <v>10</v>
      </c>
      <c r="C2244" t="s">
        <v>9</v>
      </c>
      <c r="D2244">
        <v>89</v>
      </c>
      <c r="E2244">
        <v>85</v>
      </c>
      <c r="F2244">
        <v>4</v>
      </c>
      <c r="G2244">
        <v>4</v>
      </c>
      <c r="H2244" s="1">
        <v>5.2662037037037035E-3</v>
      </c>
      <c r="I2244">
        <v>2016</v>
      </c>
      <c r="J2244" t="s">
        <v>7</v>
      </c>
      <c r="K2244" s="2" t="str">
        <f>HYPERLINK("https://www.nba.com/stats/events?CFID=&amp;CFPARAMS=&amp;GameEventID=456&amp;GameID=0021600994&amp;Season=2016-17&amp;flag=1&amp;title=Forbes%2025'%203PT%20Jump%20Shot%20(5%20PTS)%20(Leonard%203%20AST)", "Forbes 25' 3PT Jump Shot (5 PTS) (Leonard 3 AST)")</f>
        <v>Forbes 25' 3PT Jump Shot (5 PTS) (Leonard 3 AST)</v>
      </c>
      <c r="L2244" s="2" t="str">
        <f>HYPERLINK("https://www.nba.com/game/...-vs-...-0021600994/play-by-play?watchFullGame=true", "SAS vs ATL - Q4 07:35.00")</f>
        <v>SAS vs ATL - Q4 07:35.00</v>
      </c>
      <c r="M2244">
        <v>25</v>
      </c>
      <c r="N2244">
        <v>-145</v>
      </c>
      <c r="O2244">
        <v>208</v>
      </c>
      <c r="P2244">
        <v>-145</v>
      </c>
      <c r="Q2244">
        <v>208</v>
      </c>
      <c r="R2244" t="s">
        <v>0</v>
      </c>
      <c r="S2244" t="s">
        <v>0</v>
      </c>
      <c r="T2244" t="s">
        <v>0</v>
      </c>
    </row>
    <row r="2245" spans="1:20" x14ac:dyDescent="0.25">
      <c r="A2245">
        <v>21800459</v>
      </c>
      <c r="B2245" t="s">
        <v>4</v>
      </c>
      <c r="C2245" t="s">
        <v>18</v>
      </c>
      <c r="D2245">
        <v>7</v>
      </c>
      <c r="E2245">
        <v>9</v>
      </c>
      <c r="F2245">
        <v>2</v>
      </c>
      <c r="G2245">
        <v>1</v>
      </c>
      <c r="H2245" s="1">
        <v>5.6944444444444447E-3</v>
      </c>
      <c r="I2245">
        <v>2018</v>
      </c>
      <c r="J2245" t="s">
        <v>1</v>
      </c>
      <c r="K2245" s="2" t="str">
        <f>HYPERLINK("https://www.nba.com/stats/events?CFID=&amp;CFPARAMS=&amp;GameEventID=47&amp;GameID=0021800459&amp;Season=2018-19&amp;flag=1&amp;title=Monroe%203'%20Hook%20Shot%20(4%20PTS)%20(Leonard%202%20AST)", "Monroe 3' Hook Shot (4 PTS) (Leonard 2 AST)")</f>
        <v>Monroe 3' Hook Shot (4 PTS) (Leonard 2 AST)</v>
      </c>
      <c r="L2245" s="2" t="str">
        <f>HYPERLINK("https://www.nba.com/game/...-vs-...-0021800459/play-by-play?watchFullGame=true", "TOR vs IND - Q1 08:12.00")</f>
        <v>TOR vs IND - Q1 08:12.00</v>
      </c>
      <c r="M2245">
        <v>3</v>
      </c>
      <c r="N2245">
        <v>-11</v>
      </c>
      <c r="O2245">
        <v>29</v>
      </c>
      <c r="P2245">
        <v>-11</v>
      </c>
      <c r="Q2245">
        <v>29</v>
      </c>
      <c r="R2245" t="s">
        <v>0</v>
      </c>
      <c r="S2245" t="s">
        <v>0</v>
      </c>
      <c r="T2245" t="s">
        <v>0</v>
      </c>
    </row>
    <row r="2246" spans="1:20" x14ac:dyDescent="0.25">
      <c r="A2246">
        <v>21800476</v>
      </c>
      <c r="B2246" t="s">
        <v>4</v>
      </c>
      <c r="C2246" t="s">
        <v>19</v>
      </c>
      <c r="D2246">
        <v>60</v>
      </c>
      <c r="E2246">
        <v>79</v>
      </c>
      <c r="F2246">
        <v>19</v>
      </c>
      <c r="G2246">
        <v>3</v>
      </c>
      <c r="H2246" s="1">
        <v>2.6041666666666665E-3</v>
      </c>
      <c r="I2246">
        <v>2018</v>
      </c>
      <c r="J2246" t="s">
        <v>12</v>
      </c>
      <c r="K2246" s="2" t="str">
        <f>HYPERLINK("https://www.nba.com/stats/events?CFID=&amp;CFPARAMS=&amp;GameEventID=432&amp;GameID=0021800476&amp;Season=2018-19&amp;flag=1&amp;title=Lillard%2014'%20Pullup%20Jump%20Shot%20(16%20PTS)%20(Leonard%202%20AST)", "Lillard 14' Pullup Jump Shot (16 PTS) (Leonard 2 AST)")</f>
        <v>Lillard 14' Pullup Jump Shot (16 PTS) (Leonard 2 AST)</v>
      </c>
      <c r="L2246" s="2" t="str">
        <f>HYPERLINK("https://www.nba.com/game/...-vs-...-0021800476/play-by-play?watchFullGame=true", "POR vs UTA - Q3 03:45.00")</f>
        <v>POR vs UTA - Q3 03:45.00</v>
      </c>
      <c r="M2246">
        <v>14</v>
      </c>
      <c r="N2246">
        <v>-142</v>
      </c>
      <c r="O2246">
        <v>6</v>
      </c>
      <c r="P2246">
        <v>-142</v>
      </c>
      <c r="Q2246">
        <v>6</v>
      </c>
      <c r="R2246" t="s">
        <v>0</v>
      </c>
      <c r="S2246" t="s">
        <v>0</v>
      </c>
      <c r="T2246" t="s">
        <v>0</v>
      </c>
    </row>
    <row r="2247" spans="1:20" x14ac:dyDescent="0.25">
      <c r="A2247">
        <v>21800540</v>
      </c>
      <c r="B2247" t="s">
        <v>10</v>
      </c>
      <c r="C2247" t="s">
        <v>9</v>
      </c>
      <c r="D2247">
        <v>109</v>
      </c>
      <c r="E2247">
        <v>68</v>
      </c>
      <c r="F2247">
        <v>41</v>
      </c>
      <c r="G2247">
        <v>4</v>
      </c>
      <c r="H2247" s="1">
        <v>7.2337962962962963E-3</v>
      </c>
      <c r="I2247">
        <v>2018</v>
      </c>
      <c r="J2247" t="s">
        <v>12</v>
      </c>
      <c r="K2247" s="2" t="str">
        <f>HYPERLINK("https://www.nba.com/stats/events?CFID=&amp;CFPARAMS=&amp;GameEventID=532&amp;GameID=0021800540&amp;Season=2018-19&amp;flag=1&amp;title=Curry%2025'%203PT%20Jump%20Shot%20(7%20PTS)%20(Leonard%201%20AST)", "Curry 25' 3PT Jump Shot (7 PTS) (Leonard 1 AST)")</f>
        <v>Curry 25' 3PT Jump Shot (7 PTS) (Leonard 1 AST)</v>
      </c>
      <c r="L2247" s="2" t="str">
        <f>HYPERLINK("https://www.nba.com/game/...-vs-...-0021800540/play-by-play?watchFullGame=true", "POR vs PHI - Q4 10:25.00")</f>
        <v>POR vs PHI - Q4 10:25.00</v>
      </c>
      <c r="M2247">
        <v>25</v>
      </c>
      <c r="N2247">
        <v>210</v>
      </c>
      <c r="O2247">
        <v>131</v>
      </c>
      <c r="P2247">
        <v>210</v>
      </c>
      <c r="Q2247">
        <v>131</v>
      </c>
      <c r="R2247" t="s">
        <v>0</v>
      </c>
      <c r="S2247" t="s">
        <v>0</v>
      </c>
      <c r="T2247" t="s">
        <v>0</v>
      </c>
    </row>
    <row r="2248" spans="1:20" x14ac:dyDescent="0.25">
      <c r="A2248">
        <v>21800639</v>
      </c>
      <c r="B2248" t="s">
        <v>10</v>
      </c>
      <c r="C2248" t="s">
        <v>9</v>
      </c>
      <c r="D2248">
        <v>18</v>
      </c>
      <c r="E2248">
        <v>5</v>
      </c>
      <c r="F2248">
        <v>13</v>
      </c>
      <c r="G2248">
        <v>1</v>
      </c>
      <c r="H2248" s="1">
        <v>5.4166666666666669E-3</v>
      </c>
      <c r="I2248">
        <v>2018</v>
      </c>
      <c r="J2248" t="s">
        <v>1</v>
      </c>
      <c r="K2248" s="2" t="str">
        <f>HYPERLINK("https://www.nba.com/stats/events?CFID=&amp;CFPARAMS=&amp;GameEventID=51&amp;GameID=0021800639&amp;Season=2018-19&amp;flag=1&amp;title=Ibaka%203PT%20Jump%20Shot%20(5%20PTS)%20(Leonard%202%20AST)", "Ibaka 3PT Jump Shot (5 PTS) (Leonard 2 AST)")</f>
        <v>Ibaka 3PT Jump Shot (5 PTS) (Leonard 2 AST)</v>
      </c>
      <c r="L2248" s="2" t="str">
        <f>HYPERLINK("https://www.nba.com/game/...-vs-...-0021800639/play-by-play?watchFullGame=true", "TOR vs WAS - Q1 07:48.00")</f>
        <v>TOR vs WAS - Q1 07:48.00</v>
      </c>
      <c r="M2248">
        <v>0</v>
      </c>
      <c r="N2248">
        <v>221</v>
      </c>
      <c r="O2248">
        <v>69</v>
      </c>
      <c r="P2248">
        <v>221</v>
      </c>
      <c r="Q2248">
        <v>69</v>
      </c>
      <c r="R2248" t="s">
        <v>0</v>
      </c>
      <c r="S2248" t="s">
        <v>0</v>
      </c>
      <c r="T2248" t="s">
        <v>0</v>
      </c>
    </row>
    <row r="2249" spans="1:20" x14ac:dyDescent="0.25">
      <c r="A2249">
        <v>21800643</v>
      </c>
      <c r="B2249" t="s">
        <v>4</v>
      </c>
      <c r="C2249" t="s">
        <v>5</v>
      </c>
      <c r="D2249">
        <v>34</v>
      </c>
      <c r="E2249">
        <v>36</v>
      </c>
      <c r="F2249">
        <v>2</v>
      </c>
      <c r="G2249">
        <v>2</v>
      </c>
      <c r="H2249" s="1">
        <v>8.0439814814814818E-3</v>
      </c>
      <c r="I2249">
        <v>2018</v>
      </c>
      <c r="J2249" t="s">
        <v>12</v>
      </c>
      <c r="K2249" s="2" t="str">
        <f>HYPERLINK("https://www.nba.com/stats/events?CFID=&amp;CFPARAMS=&amp;GameEventID=150&amp;GameID=0021800643&amp;Season=2018-19&amp;flag=1&amp;title=Turner%202'%20Layup%20(4%20PTS)%20(Leonard%201%20AST)", "Turner 2' Layup (4 PTS) (Leonard 1 AST)")</f>
        <v>Turner 2' Layup (4 PTS) (Leonard 1 AST)</v>
      </c>
      <c r="L2249" s="2" t="str">
        <f>HYPERLINK("https://www.nba.com/game/...-vs-...-0021800643/play-by-play?watchFullGame=true", "POR vs DEN - Q2 11:35.00")</f>
        <v>POR vs DEN - Q2 11:35.00</v>
      </c>
      <c r="M2249">
        <v>2</v>
      </c>
      <c r="N2249">
        <v>-16</v>
      </c>
      <c r="O2249">
        <v>17</v>
      </c>
      <c r="P2249">
        <v>-16</v>
      </c>
      <c r="Q2249">
        <v>17</v>
      </c>
      <c r="R2249" t="s">
        <v>0</v>
      </c>
      <c r="S2249" t="s">
        <v>0</v>
      </c>
      <c r="T2249" t="s">
        <v>0</v>
      </c>
    </row>
    <row r="2250" spans="1:20" x14ac:dyDescent="0.25">
      <c r="A2250">
        <v>21800724</v>
      </c>
      <c r="B2250" t="s">
        <v>4</v>
      </c>
      <c r="C2250" t="s">
        <v>16</v>
      </c>
      <c r="D2250">
        <v>70</v>
      </c>
      <c r="E2250">
        <v>74</v>
      </c>
      <c r="F2250">
        <v>4</v>
      </c>
      <c r="G2250">
        <v>3</v>
      </c>
      <c r="H2250" s="1">
        <v>6.7013888888888887E-3</v>
      </c>
      <c r="I2250">
        <v>2018</v>
      </c>
      <c r="J2250" t="s">
        <v>1</v>
      </c>
      <c r="K2250" s="2" t="str">
        <f>HYPERLINK("https://www.nba.com/stats/events?CFID=&amp;CFPARAMS=&amp;GameEventID=342&amp;GameID=0021800724&amp;Season=2018-19&amp;flag=1&amp;title=Siakam%201'%20Running%20Dunk%20(12%20PTS)%20(Leonard%203%20AST)", "Siakam 1' Running Dunk (12 PTS) (Leonard 3 AST)")</f>
        <v>Siakam 1' Running Dunk (12 PTS) (Leonard 3 AST)</v>
      </c>
      <c r="L2250" s="2" t="str">
        <f>HYPERLINK("https://www.nba.com/game/...-vs-...-0021800724/play-by-play?watchFullGame=true", "TOR vs HOU - Q3 09:39.00")</f>
        <v>TOR vs HOU - Q3 09:39.00</v>
      </c>
      <c r="M2250">
        <v>1</v>
      </c>
      <c r="N2250">
        <v>5</v>
      </c>
      <c r="O2250">
        <v>-6</v>
      </c>
      <c r="P2250">
        <v>5</v>
      </c>
      <c r="Q2250">
        <v>-6</v>
      </c>
      <c r="R2250" t="s">
        <v>0</v>
      </c>
      <c r="S2250" t="s">
        <v>0</v>
      </c>
      <c r="T2250" t="s">
        <v>0</v>
      </c>
    </row>
    <row r="2251" spans="1:20" x14ac:dyDescent="0.25">
      <c r="A2251">
        <v>21800800</v>
      </c>
      <c r="B2251" t="s">
        <v>10</v>
      </c>
      <c r="C2251" t="s">
        <v>9</v>
      </c>
      <c r="D2251">
        <v>64</v>
      </c>
      <c r="E2251">
        <v>45</v>
      </c>
      <c r="F2251">
        <v>19</v>
      </c>
      <c r="G2251">
        <v>2</v>
      </c>
      <c r="H2251" s="1">
        <v>2.8587962962962963E-3</v>
      </c>
      <c r="I2251">
        <v>2018</v>
      </c>
      <c r="J2251" t="s">
        <v>1</v>
      </c>
      <c r="K2251" s="2" t="str">
        <f>HYPERLINK("https://www.nba.com/stats/events?CFID=&amp;CFPARAMS=&amp;GameEventID=302&amp;GameID=0021800800&amp;Season=2018-19&amp;flag=1&amp;title=Lowry%2029'%203PT%20Jump%20Shot%20(17%20PTS)%20(Leonard%201%20AST)", "Lowry 29' 3PT Jump Shot (17 PTS) (Leonard 1 AST)")</f>
        <v>Lowry 29' 3PT Jump Shot (17 PTS) (Leonard 1 AST)</v>
      </c>
      <c r="L2251" s="2" t="str">
        <f>HYPERLINK("https://www.nba.com/game/...-vs-...-0021800800/play-by-play?watchFullGame=true", "TOR vs PHI - Q2 04:07.00")</f>
        <v>TOR vs PHI - Q2 04:07.00</v>
      </c>
      <c r="M2251">
        <v>29</v>
      </c>
      <c r="N2251">
        <v>-46</v>
      </c>
      <c r="O2251">
        <v>288</v>
      </c>
      <c r="P2251">
        <v>-46</v>
      </c>
      <c r="Q2251">
        <v>288</v>
      </c>
      <c r="R2251" t="s">
        <v>0</v>
      </c>
      <c r="S2251" t="s">
        <v>0</v>
      </c>
      <c r="T2251" t="s">
        <v>0</v>
      </c>
    </row>
    <row r="2252" spans="1:20" x14ac:dyDescent="0.25">
      <c r="A2252">
        <v>21800303</v>
      </c>
      <c r="B2252" t="s">
        <v>10</v>
      </c>
      <c r="C2252" t="s">
        <v>9</v>
      </c>
      <c r="D2252">
        <v>105</v>
      </c>
      <c r="E2252">
        <v>105</v>
      </c>
      <c r="F2252">
        <v>0</v>
      </c>
      <c r="G2252">
        <v>4</v>
      </c>
      <c r="H2252" s="1">
        <v>4.7222222222222223E-3</v>
      </c>
      <c r="I2252">
        <v>2018</v>
      </c>
      <c r="J2252" t="s">
        <v>1</v>
      </c>
      <c r="K2252" s="2" t="str">
        <f>HYPERLINK("https://www.nba.com/stats/events?CFID=&amp;CFPARAMS=&amp;GameEventID=534&amp;GameID=0021800303&amp;Season=2018-19&amp;flag=1&amp;title=VanVleet%2024'%203PT%20Jump%20Shot%20(10%20PTS)%20(Leonard%202%20AST)", "VanVleet 24' 3PT Jump Shot (10 PTS) (Leonard 2 AST)")</f>
        <v>VanVleet 24' 3PT Jump Shot (10 PTS) (Leonard 2 AST)</v>
      </c>
      <c r="L2252" s="2" t="str">
        <f>HYPERLINK("https://www.nba.com/game/...-vs-...-0021800303/play-by-play?watchFullGame=true", "TOR vs MEM - Q4 06:48.00")</f>
        <v>TOR vs MEM - Q4 06:48.00</v>
      </c>
      <c r="M2252">
        <v>24</v>
      </c>
      <c r="N2252">
        <v>24</v>
      </c>
      <c r="O2252">
        <v>241</v>
      </c>
      <c r="P2252">
        <v>24</v>
      </c>
      <c r="Q2252">
        <v>241</v>
      </c>
      <c r="R2252" t="s">
        <v>0</v>
      </c>
      <c r="S2252" t="s">
        <v>0</v>
      </c>
      <c r="T2252" t="s">
        <v>0</v>
      </c>
    </row>
    <row r="2253" spans="1:20" x14ac:dyDescent="0.25">
      <c r="A2253">
        <v>21800465</v>
      </c>
      <c r="B2253" t="s">
        <v>4</v>
      </c>
      <c r="C2253" t="s">
        <v>32</v>
      </c>
      <c r="D2253">
        <v>23</v>
      </c>
      <c r="E2253">
        <v>20</v>
      </c>
      <c r="F2253">
        <v>3</v>
      </c>
      <c r="G2253">
        <v>2</v>
      </c>
      <c r="H2253" s="1">
        <v>7.0254629629629634E-3</v>
      </c>
      <c r="I2253">
        <v>2018</v>
      </c>
      <c r="J2253" t="s">
        <v>12</v>
      </c>
      <c r="K2253" s="2" t="str">
        <f>HYPERLINK("https://www.nba.com/stats/events?CFID=&amp;CFPARAMS=&amp;GameEventID=173&amp;GameID=0021800465&amp;Season=2018-19&amp;flag=1&amp;title=Collins%20Hook%20Bank%20Shot%20(4%20PTS)%20(Leonard%201%20AST)", "Collins Hook Bank Shot (4 PTS) (Leonard 1 AST)")</f>
        <v>Collins Hook Bank Shot (4 PTS) (Leonard 1 AST)</v>
      </c>
      <c r="L2253" s="2" t="str">
        <f>HYPERLINK("https://www.nba.com/game/...-vs-...-0021800465/play-by-play?watchFullGame=true", "POR vs MEM - Q2 10:07.00")</f>
        <v>POR vs MEM - Q2 10:07.00</v>
      </c>
      <c r="M2253">
        <v>0</v>
      </c>
      <c r="N2253">
        <v>2</v>
      </c>
      <c r="O2253">
        <v>-3</v>
      </c>
      <c r="P2253">
        <v>2</v>
      </c>
      <c r="Q2253">
        <v>-3</v>
      </c>
      <c r="R2253" t="s">
        <v>0</v>
      </c>
      <c r="S2253" t="s">
        <v>0</v>
      </c>
      <c r="T2253" t="s">
        <v>0</v>
      </c>
    </row>
    <row r="2254" spans="1:20" x14ac:dyDescent="0.25">
      <c r="A2254">
        <v>21800597</v>
      </c>
      <c r="B2254" t="s">
        <v>10</v>
      </c>
      <c r="C2254" t="s">
        <v>9</v>
      </c>
      <c r="D2254">
        <v>38</v>
      </c>
      <c r="E2254">
        <v>40</v>
      </c>
      <c r="F2254">
        <v>2</v>
      </c>
      <c r="G2254">
        <v>2</v>
      </c>
      <c r="H2254" s="1">
        <v>6.1689814814814819E-3</v>
      </c>
      <c r="I2254">
        <v>2018</v>
      </c>
      <c r="J2254" t="s">
        <v>12</v>
      </c>
      <c r="K2254" s="2" t="str">
        <f>HYPERLINK("https://www.nba.com/stats/events?CFID=&amp;CFPARAMS=&amp;GameEventID=195&amp;GameID=0021800597&amp;Season=2018-19&amp;flag=1&amp;title=Curry%2024'%203PT%20Jump%20Shot%20(6%20PTS)%20(Leonard%202%20AST)", "Curry 24' 3PT Jump Shot (6 PTS) (Leonard 2 AST)")</f>
        <v>Curry 24' 3PT Jump Shot (6 PTS) (Leonard 2 AST)</v>
      </c>
      <c r="L2254" s="2" t="str">
        <f>HYPERLINK("https://www.nba.com/game/...-vs-...-0021800597/play-by-play?watchFullGame=true", "POR vs NYK - Q2 08:53.00")</f>
        <v>POR vs NYK - Q2 08:53.00</v>
      </c>
      <c r="M2254">
        <v>24</v>
      </c>
      <c r="N2254">
        <v>167</v>
      </c>
      <c r="O2254">
        <v>174</v>
      </c>
      <c r="P2254">
        <v>167</v>
      </c>
      <c r="Q2254">
        <v>174</v>
      </c>
      <c r="R2254" t="s">
        <v>0</v>
      </c>
      <c r="S2254" t="s">
        <v>0</v>
      </c>
      <c r="T2254" t="s">
        <v>0</v>
      </c>
    </row>
    <row r="2255" spans="1:20" x14ac:dyDescent="0.25">
      <c r="A2255">
        <v>21800624</v>
      </c>
      <c r="B2255" t="s">
        <v>10</v>
      </c>
      <c r="C2255" t="s">
        <v>3</v>
      </c>
      <c r="D2255">
        <v>20</v>
      </c>
      <c r="E2255">
        <v>21</v>
      </c>
      <c r="F2255">
        <v>1</v>
      </c>
      <c r="G2255">
        <v>1</v>
      </c>
      <c r="H2255" s="1">
        <v>3.0208333333333333E-3</v>
      </c>
      <c r="I2255">
        <v>2018</v>
      </c>
      <c r="J2255" t="s">
        <v>1</v>
      </c>
      <c r="K2255" s="2" t="str">
        <f>HYPERLINK("https://www.nba.com/stats/events?CFID=&amp;CFPARAMS=&amp;GameEventID=88&amp;GameID=0021800624&amp;Season=2018-19&amp;flag=1&amp;title=VanVleet%2025'%203PT%20Running%20Jump%20Shot%20(3%20PTS)%20(Leonard%201%20AST)", "VanVleet 25' 3PT Running Jump Shot (3 PTS) (Leonard 1 AST)")</f>
        <v>VanVleet 25' 3PT Running Jump Shot (3 PTS) (Leonard 1 AST)</v>
      </c>
      <c r="L2255" s="2" t="str">
        <f>HYPERLINK("https://www.nba.com/game/...-vs-...-0021800624/play-by-play?watchFullGame=true", "TOR vs BKN - Q1 04:21.00")</f>
        <v>TOR vs BKN - Q1 04:21.00</v>
      </c>
      <c r="M2255">
        <v>25</v>
      </c>
      <c r="N2255">
        <v>-206</v>
      </c>
      <c r="O2255">
        <v>145</v>
      </c>
      <c r="P2255">
        <v>-206</v>
      </c>
      <c r="Q2255">
        <v>145</v>
      </c>
      <c r="R2255" t="s">
        <v>0</v>
      </c>
      <c r="S2255" t="s">
        <v>0</v>
      </c>
      <c r="T2255" t="s">
        <v>0</v>
      </c>
    </row>
    <row r="2256" spans="1:20" x14ac:dyDescent="0.25">
      <c r="A2256">
        <v>21800828</v>
      </c>
      <c r="B2256" t="s">
        <v>4</v>
      </c>
      <c r="C2256" t="s">
        <v>5</v>
      </c>
      <c r="D2256">
        <v>42</v>
      </c>
      <c r="E2256">
        <v>40</v>
      </c>
      <c r="F2256">
        <v>2</v>
      </c>
      <c r="G2256">
        <v>2</v>
      </c>
      <c r="H2256" s="1">
        <v>5.9953703703703699E-4</v>
      </c>
      <c r="I2256">
        <v>2018</v>
      </c>
      <c r="J2256" t="s">
        <v>1</v>
      </c>
      <c r="K2256" s="2" t="str">
        <f>HYPERLINK("https://www.nba.com/stats/events?CFID=&amp;CFPARAMS=&amp;GameEventID=318&amp;GameID=0021800828&amp;Season=2018-19&amp;flag=1&amp;title=Siakam%202'%20Layup%20(8%20PTS)%20(Leonard%202%20AST)", "Siakam 2' Layup (8 PTS) (Leonard 2 AST)")</f>
        <v>Siakam 2' Layup (8 PTS) (Leonard 2 AST)</v>
      </c>
      <c r="L2256" s="2" t="str">
        <f>HYPERLINK("https://www.nba.com/game/...-vs-...-0021800828/play-by-play?watchFullGame=true", "TOR vs NYK - Q2 00:51.80")</f>
        <v>TOR vs NYK - Q2 00:51.80</v>
      </c>
      <c r="M2256">
        <v>2</v>
      </c>
      <c r="N2256">
        <v>18</v>
      </c>
      <c r="O2256">
        <v>6</v>
      </c>
      <c r="P2256">
        <v>18</v>
      </c>
      <c r="Q2256">
        <v>6</v>
      </c>
      <c r="R2256" t="s">
        <v>0</v>
      </c>
      <c r="S2256" t="s">
        <v>0</v>
      </c>
      <c r="T2256" t="s">
        <v>0</v>
      </c>
    </row>
    <row r="2257" spans="1:20" x14ac:dyDescent="0.25">
      <c r="A2257">
        <v>21800842</v>
      </c>
      <c r="B2257" t="s">
        <v>10</v>
      </c>
      <c r="C2257" t="s">
        <v>9</v>
      </c>
      <c r="D2257">
        <v>125</v>
      </c>
      <c r="E2257">
        <v>125</v>
      </c>
      <c r="F2257">
        <v>0</v>
      </c>
      <c r="G2257">
        <v>4</v>
      </c>
      <c r="H2257" s="1">
        <v>4.1782407407407409E-4</v>
      </c>
      <c r="I2257">
        <v>2018</v>
      </c>
      <c r="J2257" t="s">
        <v>1</v>
      </c>
      <c r="K2257" s="2" t="str">
        <f>HYPERLINK("https://www.nba.com/stats/events?CFID=&amp;CFPARAMS=&amp;GameEventID=613&amp;GameID=0021800842&amp;Season=2018-19&amp;flag=1&amp;title=Green%2026'%203PT%20Jump%20Shot%20(9%20PTS)%20(Leonard%208%20AST)", "Green 26' 3PT Jump Shot (9 PTS) (Leonard 8 AST)")</f>
        <v>Green 26' 3PT Jump Shot (9 PTS) (Leonard 8 AST)</v>
      </c>
      <c r="L2257" s="2" t="str">
        <f>HYPERLINK("https://www.nba.com/game/...-vs-...-0021800842/play-by-play?watchFullGame=true", "TOR vs BKN - Q4 00:36.10")</f>
        <v>TOR vs BKN - Q4 00:36.10</v>
      </c>
      <c r="M2257">
        <v>26</v>
      </c>
      <c r="N2257">
        <v>106</v>
      </c>
      <c r="O2257">
        <v>239</v>
      </c>
      <c r="P2257">
        <v>106</v>
      </c>
      <c r="Q2257">
        <v>239</v>
      </c>
      <c r="R2257" t="s">
        <v>0</v>
      </c>
      <c r="S2257" t="s">
        <v>0</v>
      </c>
      <c r="T2257" t="s">
        <v>0</v>
      </c>
    </row>
    <row r="2258" spans="1:20" x14ac:dyDescent="0.25">
      <c r="A2258">
        <v>21800909</v>
      </c>
      <c r="B2258" t="s">
        <v>10</v>
      </c>
      <c r="C2258" t="s">
        <v>9</v>
      </c>
      <c r="D2258">
        <v>84</v>
      </c>
      <c r="E2258">
        <v>62</v>
      </c>
      <c r="F2258">
        <v>22</v>
      </c>
      <c r="G2258">
        <v>3</v>
      </c>
      <c r="H2258" s="1">
        <v>3.1828703703703702E-3</v>
      </c>
      <c r="I2258">
        <v>2018</v>
      </c>
      <c r="J2258" t="s">
        <v>1</v>
      </c>
      <c r="K2258" s="2" t="str">
        <f>HYPERLINK("https://www.nba.com/stats/events?CFID=&amp;CFPARAMS=&amp;GameEventID=433&amp;GameID=0021800909&amp;Season=2018-19&amp;flag=1&amp;title=Ibaka%2025'%203PT%20Jump%20Shot%20(14%20PTS)%20(Leonard%204%20AST)", "Ibaka 25' 3PT Jump Shot (14 PTS) (Leonard 4 AST)")</f>
        <v>Ibaka 25' 3PT Jump Shot (14 PTS) (Leonard 4 AST)</v>
      </c>
      <c r="L2258" s="2" t="str">
        <f>HYPERLINK("https://www.nba.com/game/...-vs-...-0021800909/play-by-play?watchFullGame=true", "TOR vs BOS - Q3 04:35.00")</f>
        <v>TOR vs BOS - Q3 04:35.00</v>
      </c>
      <c r="M2258">
        <v>25</v>
      </c>
      <c r="N2258">
        <v>218</v>
      </c>
      <c r="O2258">
        <v>125</v>
      </c>
      <c r="P2258">
        <v>218</v>
      </c>
      <c r="Q2258">
        <v>125</v>
      </c>
      <c r="R2258" t="s">
        <v>0</v>
      </c>
      <c r="S2258" t="s">
        <v>0</v>
      </c>
      <c r="T2258" t="s">
        <v>0</v>
      </c>
    </row>
    <row r="2259" spans="1:20" x14ac:dyDescent="0.25">
      <c r="A2259">
        <v>21800930</v>
      </c>
      <c r="B2259" t="s">
        <v>4</v>
      </c>
      <c r="C2259" t="s">
        <v>36</v>
      </c>
      <c r="D2259">
        <v>57</v>
      </c>
      <c r="E2259">
        <v>49</v>
      </c>
      <c r="F2259">
        <v>8</v>
      </c>
      <c r="G2259">
        <v>2</v>
      </c>
      <c r="H2259" s="1">
        <v>1.2731481481481483E-3</v>
      </c>
      <c r="I2259">
        <v>2018</v>
      </c>
      <c r="J2259" t="s">
        <v>1</v>
      </c>
      <c r="K2259" s="2" t="str">
        <f>HYPERLINK("https://www.nba.com/stats/events?CFID=&amp;CFPARAMS=&amp;GameEventID=277&amp;GameID=0021800930&amp;Season=2018-19&amp;flag=1&amp;title=Siakam%201'%20Running%20Layup%20(11%20PTS)%20(Leonard%203%20AST)", "Siakam 1' Running Layup (11 PTS) (Leonard 3 AST)")</f>
        <v>Siakam 1' Running Layup (11 PTS) (Leonard 3 AST)</v>
      </c>
      <c r="L2259" s="2" t="str">
        <f>HYPERLINK("https://www.nba.com/game/...-vs-...-0021800930/play-by-play?watchFullGame=true", "TOR vs POR - Q2 01:50.00")</f>
        <v>TOR vs POR - Q2 01:50.00</v>
      </c>
      <c r="M2259">
        <v>1</v>
      </c>
      <c r="N2259">
        <v>-3</v>
      </c>
      <c r="O2259">
        <v>4</v>
      </c>
      <c r="P2259">
        <v>-3</v>
      </c>
      <c r="Q2259">
        <v>4</v>
      </c>
      <c r="R2259" t="s">
        <v>0</v>
      </c>
      <c r="S2259" t="s">
        <v>0</v>
      </c>
      <c r="T2259" t="s">
        <v>0</v>
      </c>
    </row>
    <row r="2260" spans="1:20" x14ac:dyDescent="0.25">
      <c r="A2260">
        <v>21801083</v>
      </c>
      <c r="B2260" t="s">
        <v>10</v>
      </c>
      <c r="C2260" t="s">
        <v>9</v>
      </c>
      <c r="D2260">
        <v>14</v>
      </c>
      <c r="E2260">
        <v>10</v>
      </c>
      <c r="F2260">
        <v>4</v>
      </c>
      <c r="G2260">
        <v>1</v>
      </c>
      <c r="H2260" s="1">
        <v>4.0625000000000001E-3</v>
      </c>
      <c r="I2260">
        <v>2018</v>
      </c>
      <c r="J2260" t="s">
        <v>1</v>
      </c>
      <c r="K2260" s="2" t="str">
        <f>HYPERLINK("https://www.nba.com/stats/events?CFID=&amp;CFPARAMS=&amp;GameEventID=67&amp;GameID=0021801083&amp;Season=2018-19&amp;flag=1&amp;title=Green%2027'%203PT%20Jump%20Shot%20(6%20PTS)%20(Leonard%201%20AST)", "Green 27' 3PT Jump Shot (6 PTS) (Leonard 1 AST)")</f>
        <v>Green 27' 3PT Jump Shot (6 PTS) (Leonard 1 AST)</v>
      </c>
      <c r="L2260" s="2" t="str">
        <f>HYPERLINK("https://www.nba.com/game/...-vs-...-0021801083/play-by-play?watchFullGame=true", "TOR vs OKC - Q1 05:51.00")</f>
        <v>TOR vs OKC - Q1 05:51.00</v>
      </c>
      <c r="M2260">
        <v>27</v>
      </c>
      <c r="N2260">
        <v>102</v>
      </c>
      <c r="O2260">
        <v>247</v>
      </c>
      <c r="P2260">
        <v>102</v>
      </c>
      <c r="Q2260">
        <v>247</v>
      </c>
      <c r="R2260" t="s">
        <v>0</v>
      </c>
      <c r="S2260" t="s">
        <v>0</v>
      </c>
      <c r="T2260" t="s">
        <v>0</v>
      </c>
    </row>
    <row r="2261" spans="1:20" x14ac:dyDescent="0.25">
      <c r="A2261">
        <v>21801110</v>
      </c>
      <c r="B2261" t="s">
        <v>4</v>
      </c>
      <c r="C2261" t="s">
        <v>25</v>
      </c>
      <c r="D2261">
        <v>58</v>
      </c>
      <c r="E2261">
        <v>43</v>
      </c>
      <c r="F2261">
        <v>15</v>
      </c>
      <c r="G2261">
        <v>3</v>
      </c>
      <c r="H2261" s="1">
        <v>7.766203703703704E-3</v>
      </c>
      <c r="I2261">
        <v>2018</v>
      </c>
      <c r="J2261" t="s">
        <v>1</v>
      </c>
      <c r="K2261" s="2" t="str">
        <f>HYPERLINK("https://www.nba.com/stats/events?CFID=&amp;CFPARAMS=&amp;GameEventID=347&amp;GameID=0021801110&amp;Season=2018-19&amp;flag=1&amp;title=Siakam%203'%20Running%20Finger%20Roll%20Layup%20(8%20PTS)%20(Leonard%204%20AST)", "Siakam 3' Running Finger Roll Layup (8 PTS) (Leonard 4 AST)")</f>
        <v>Siakam 3' Running Finger Roll Layup (8 PTS) (Leonard 4 AST)</v>
      </c>
      <c r="L2261" s="2" t="str">
        <f>HYPERLINK("https://www.nba.com/game/...-vs-...-0021801110/play-by-play?watchFullGame=true", "TOR vs CHI - Q3 11:11.00")</f>
        <v>TOR vs CHI - Q3 11:11.00</v>
      </c>
      <c r="M2261">
        <v>3</v>
      </c>
      <c r="N2261">
        <v>16</v>
      </c>
      <c r="O2261">
        <v>20</v>
      </c>
      <c r="P2261">
        <v>16</v>
      </c>
      <c r="Q2261">
        <v>20</v>
      </c>
      <c r="R2261" t="s">
        <v>0</v>
      </c>
      <c r="S2261" t="s">
        <v>0</v>
      </c>
      <c r="T2261" t="s">
        <v>0</v>
      </c>
    </row>
    <row r="2262" spans="1:20" x14ac:dyDescent="0.25">
      <c r="A2262">
        <v>21801139</v>
      </c>
      <c r="B2262" t="s">
        <v>4</v>
      </c>
      <c r="C2262" t="s">
        <v>5</v>
      </c>
      <c r="D2262">
        <v>61</v>
      </c>
      <c r="E2262">
        <v>68</v>
      </c>
      <c r="F2262">
        <v>7</v>
      </c>
      <c r="G2262">
        <v>4</v>
      </c>
      <c r="H2262" s="1">
        <v>7.5347222222222222E-3</v>
      </c>
      <c r="I2262">
        <v>2018</v>
      </c>
      <c r="J2262" t="s">
        <v>12</v>
      </c>
      <c r="K2262" s="2" t="str">
        <f>HYPERLINK("https://www.nba.com/stats/events?CFID=&amp;CFPARAMS=&amp;GameEventID=489&amp;GameID=0021801139&amp;Season=2018-19&amp;flag=1&amp;title=Collins%201'%20Layup%20(4%20PTS)%20(Leonard%201%20AST)", "Collins 1' Layup (4 PTS) (Leonard 1 AST)")</f>
        <v>Collins 1' Layup (4 PTS) (Leonard 1 AST)</v>
      </c>
      <c r="L2262" s="2" t="str">
        <f>HYPERLINK("https://www.nba.com/game/...-vs-...-0021801139/play-by-play?watchFullGame=true", "POR vs DET - Q4 10:51.00")</f>
        <v>POR vs DET - Q4 10:51.00</v>
      </c>
      <c r="M2262">
        <v>1</v>
      </c>
      <c r="N2262">
        <v>-4</v>
      </c>
      <c r="O2262">
        <v>14</v>
      </c>
      <c r="P2262">
        <v>-4</v>
      </c>
      <c r="Q2262">
        <v>14</v>
      </c>
      <c r="R2262" t="s">
        <v>0</v>
      </c>
      <c r="S2262" t="s">
        <v>0</v>
      </c>
      <c r="T2262" t="s">
        <v>0</v>
      </c>
    </row>
    <row r="2263" spans="1:20" x14ac:dyDescent="0.25">
      <c r="A2263">
        <v>41200235</v>
      </c>
      <c r="B2263" t="s">
        <v>4</v>
      </c>
      <c r="C2263" t="s">
        <v>5</v>
      </c>
      <c r="D2263">
        <v>18</v>
      </c>
      <c r="E2263">
        <v>15</v>
      </c>
      <c r="F2263">
        <v>3</v>
      </c>
      <c r="G2263">
        <v>1</v>
      </c>
      <c r="H2263" s="1">
        <v>3.5879629629629629E-3</v>
      </c>
      <c r="I2263" t="s">
        <v>27</v>
      </c>
      <c r="J2263" t="s">
        <v>7</v>
      </c>
      <c r="K2263" s="2" t="str">
        <f>HYPERLINK("https://www.nba.com/stats/events?CFID=&amp;CFPARAMS=&amp;GameEventID=65&amp;GameID=0041200235&amp;Season=2012-13&amp;flag=1&amp;title=Parker%201'%20Layup%20(6%20PTS)%20(Leonard%201%20AST)", "Parker 1' Layup (6 PTS) (Leonard 1 AST)")</f>
        <v>Parker 1' Layup (6 PTS) (Leonard 1 AST)</v>
      </c>
      <c r="L2263" s="2" t="str">
        <f>HYPERLINK("https://www.nba.com/game/...-vs-...-0041200235/play-by-play?watchFullGame=true", "SAS vs GSW - Q1 05:10.00")</f>
        <v>SAS vs GSW - Q1 05:10.00</v>
      </c>
      <c r="M2263">
        <v>1</v>
      </c>
      <c r="N2263">
        <v>-5</v>
      </c>
      <c r="O2263">
        <v>12</v>
      </c>
      <c r="P2263">
        <v>-5</v>
      </c>
      <c r="Q2263">
        <v>12</v>
      </c>
      <c r="R2263" t="s">
        <v>0</v>
      </c>
      <c r="S2263" t="s">
        <v>0</v>
      </c>
      <c r="T2263" t="s">
        <v>0</v>
      </c>
    </row>
    <row r="2264" spans="1:20" x14ac:dyDescent="0.25">
      <c r="A2264">
        <v>41300144</v>
      </c>
      <c r="B2264" t="s">
        <v>4</v>
      </c>
      <c r="C2264" t="s">
        <v>9</v>
      </c>
      <c r="D2264">
        <v>31</v>
      </c>
      <c r="E2264">
        <v>27</v>
      </c>
      <c r="F2264">
        <v>4</v>
      </c>
      <c r="G2264">
        <v>2</v>
      </c>
      <c r="H2264" s="1">
        <v>5.3935185185185188E-3</v>
      </c>
      <c r="I2264" t="s">
        <v>15</v>
      </c>
      <c r="J2264" t="s">
        <v>7</v>
      </c>
      <c r="K2264" s="2" t="str">
        <f>HYPERLINK("https://www.nba.com/stats/events?CFID=&amp;CFPARAMS=&amp;GameEventID=170&amp;GameID=0041300144&amp;Season=2013-14&amp;flag=1&amp;title=Parker%2019'%20Jump%20Shot%20(6%20PTS)%20(Leonard%201%20AST)", "Parker 19' Jump Shot (6 PTS) (Leonard 1 AST)")</f>
        <v>Parker 19' Jump Shot (6 PTS) (Leonard 1 AST)</v>
      </c>
      <c r="L2264" s="2" t="str">
        <f>HYPERLINK("https://www.nba.com/game/...-vs-...-0041300144/play-by-play?watchFullGame=true", "SAS vs DAL - Q2 07:46.00")</f>
        <v>SAS vs DAL - Q2 07:46.00</v>
      </c>
      <c r="M2264">
        <v>19</v>
      </c>
      <c r="N2264">
        <v>-188</v>
      </c>
      <c r="O2264">
        <v>3</v>
      </c>
      <c r="P2264">
        <v>-188</v>
      </c>
      <c r="Q2264">
        <v>3</v>
      </c>
      <c r="R2264" t="s">
        <v>0</v>
      </c>
      <c r="S2264" t="s">
        <v>0</v>
      </c>
      <c r="T2264" t="s">
        <v>0</v>
      </c>
    </row>
    <row r="2265" spans="1:20" x14ac:dyDescent="0.25">
      <c r="A2265">
        <v>41800113</v>
      </c>
      <c r="B2265" t="s">
        <v>10</v>
      </c>
      <c r="C2265" t="s">
        <v>9</v>
      </c>
      <c r="D2265">
        <v>18</v>
      </c>
      <c r="E2265">
        <v>7</v>
      </c>
      <c r="F2265">
        <v>11</v>
      </c>
      <c r="G2265">
        <v>1</v>
      </c>
      <c r="H2265" s="1">
        <v>3.3912037037037036E-3</v>
      </c>
      <c r="I2265" t="s">
        <v>2</v>
      </c>
      <c r="J2265" t="s">
        <v>1</v>
      </c>
      <c r="K2265" s="2" t="str">
        <f>HYPERLINK("https://www.nba.com/stats/events?CFID=&amp;CFPARAMS=&amp;GameEventID=97&amp;GameID=0041800113&amp;Season=2018-19&amp;flag=1&amp;title=Siakam%2024'%203PT%20Jump%20Shot%20(8%20PTS)%20(Leonard%203%20AST)", "Siakam 24' 3PT Jump Shot (8 PTS) (Leonard 3 AST)")</f>
        <v>Siakam 24' 3PT Jump Shot (8 PTS) (Leonard 3 AST)</v>
      </c>
      <c r="L2265" s="2" t="str">
        <f>HYPERLINK("https://www.nba.com/game/...-vs-...-0041800113/play-by-play?watchFullGame=true", "TOR vs ORL - Q1 04:53.00")</f>
        <v>TOR vs ORL - Q1 04:53.00</v>
      </c>
      <c r="M2265">
        <v>24</v>
      </c>
      <c r="N2265">
        <v>-235</v>
      </c>
      <c r="O2265">
        <v>33</v>
      </c>
      <c r="P2265">
        <v>-235</v>
      </c>
      <c r="Q2265">
        <v>33</v>
      </c>
      <c r="R2265" t="s">
        <v>0</v>
      </c>
      <c r="S2265" t="s">
        <v>0</v>
      </c>
      <c r="T2265" t="s">
        <v>0</v>
      </c>
    </row>
    <row r="2266" spans="1:20" x14ac:dyDescent="0.25">
      <c r="A2266">
        <v>41800213</v>
      </c>
      <c r="B2266" t="s">
        <v>10</v>
      </c>
      <c r="C2266" t="s">
        <v>9</v>
      </c>
      <c r="D2266">
        <v>34</v>
      </c>
      <c r="E2266">
        <v>40</v>
      </c>
      <c r="F2266">
        <v>6</v>
      </c>
      <c r="G2266">
        <v>2</v>
      </c>
      <c r="H2266" s="1">
        <v>5.9027777777777776E-3</v>
      </c>
      <c r="I2266" t="s">
        <v>2</v>
      </c>
      <c r="J2266" t="s">
        <v>1</v>
      </c>
      <c r="K2266" s="2" t="str">
        <f>HYPERLINK("https://www.nba.com/stats/events?CFID=&amp;CFPARAMS=&amp;GameEventID=191&amp;GameID=0041800213&amp;Season=2018-19&amp;flag=1&amp;title=Powell%2024'%203PT%20Jump%20Shot%20(3%20PTS)%20(Leonard%202%20AST)", "Powell 24' 3PT Jump Shot (3 PTS) (Leonard 2 AST)")</f>
        <v>Powell 24' 3PT Jump Shot (3 PTS) (Leonard 2 AST)</v>
      </c>
      <c r="L2266" s="2" t="str">
        <f>HYPERLINK("https://www.nba.com/game/...-vs-...-0041800213/play-by-play?watchFullGame=true", "TOR vs PHI - Q2 08:30.00")</f>
        <v>TOR vs PHI - Q2 08:30.00</v>
      </c>
      <c r="M2266">
        <v>24</v>
      </c>
      <c r="N2266">
        <v>-235</v>
      </c>
      <c r="O2266">
        <v>-13</v>
      </c>
      <c r="P2266">
        <v>-235</v>
      </c>
      <c r="Q2266">
        <v>-13</v>
      </c>
      <c r="R2266" t="s">
        <v>0</v>
      </c>
      <c r="S2266" t="s">
        <v>0</v>
      </c>
      <c r="T2266" t="s">
        <v>0</v>
      </c>
    </row>
    <row r="2267" spans="1:20" x14ac:dyDescent="0.25">
      <c r="A2267">
        <v>41800302</v>
      </c>
      <c r="B2267" t="s">
        <v>10</v>
      </c>
      <c r="C2267" t="s">
        <v>9</v>
      </c>
      <c r="D2267">
        <v>75</v>
      </c>
      <c r="E2267">
        <v>91</v>
      </c>
      <c r="F2267">
        <v>16</v>
      </c>
      <c r="G2267">
        <v>3</v>
      </c>
      <c r="H2267" s="1">
        <v>5.9606481481481479E-4</v>
      </c>
      <c r="I2267" t="s">
        <v>2</v>
      </c>
      <c r="J2267" t="s">
        <v>1</v>
      </c>
      <c r="K2267" s="2" t="str">
        <f>HYPERLINK("https://www.nba.com/stats/events?CFID=&amp;CFPARAMS=&amp;GameEventID=512&amp;GameID=0041800302&amp;Season=2018-19&amp;flag=1&amp;title=Powell%2030'%203PT%20Jump%20Shot%20(10%20PTS)%20(Leonard%202%20AST)", "Powell 30' 3PT Jump Shot (10 PTS) (Leonard 2 AST)")</f>
        <v>Powell 30' 3PT Jump Shot (10 PTS) (Leonard 2 AST)</v>
      </c>
      <c r="L2267" s="2" t="str">
        <f>HYPERLINK("https://www.nba.com/game/...-vs-...-0041800302/play-by-play?watchFullGame=true", "TOR vs MIL - Q3 00:51.50")</f>
        <v>TOR vs MIL - Q3 00:51.50</v>
      </c>
      <c r="M2267">
        <v>30</v>
      </c>
      <c r="N2267">
        <v>-183</v>
      </c>
      <c r="O2267">
        <v>242</v>
      </c>
      <c r="P2267">
        <v>-183</v>
      </c>
      <c r="Q2267">
        <v>242</v>
      </c>
      <c r="R2267" t="s">
        <v>0</v>
      </c>
      <c r="S2267" t="s">
        <v>0</v>
      </c>
      <c r="T2267" t="s">
        <v>0</v>
      </c>
    </row>
    <row r="2268" spans="1:20" x14ac:dyDescent="0.25">
      <c r="A2268">
        <v>21700470</v>
      </c>
      <c r="B2268" t="s">
        <v>4</v>
      </c>
      <c r="C2268" t="s">
        <v>40</v>
      </c>
      <c r="D2268">
        <v>51</v>
      </c>
      <c r="E2268">
        <v>56</v>
      </c>
      <c r="F2268">
        <v>5</v>
      </c>
      <c r="G2268">
        <v>3</v>
      </c>
      <c r="H2268" s="1">
        <v>4.6759259259259263E-3</v>
      </c>
      <c r="I2268">
        <v>2017</v>
      </c>
      <c r="J2268" t="s">
        <v>7</v>
      </c>
      <c r="K2268" s="2" t="str">
        <f>HYPERLINK("https://www.nba.com/stats/events?CFID=&amp;CFPARAMS=&amp;GameEventID=366&amp;GameID=0021700470&amp;Season=2017-18&amp;flag=1&amp;title=Mills%202'%20Running%20Reverse%20Layup%20(2%20PTS)%20(Leonard%202%20AST)", "Mills 2' Running Reverse Layup (2 PTS) (Leonard 2 AST)")</f>
        <v>Mills 2' Running Reverse Layup (2 PTS) (Leonard 2 AST)</v>
      </c>
      <c r="L2268" s="2" t="str">
        <f>HYPERLINK("https://www.nba.com/game/...-vs-...-0021700470/play-by-play?watchFullGame=true", "SAS vs UTA - Q3 06:44.00")</f>
        <v>SAS vs UTA - Q3 06:44.00</v>
      </c>
      <c r="M2268">
        <v>2</v>
      </c>
      <c r="N2268">
        <v>-20</v>
      </c>
      <c r="O2268">
        <v>4</v>
      </c>
      <c r="P2268">
        <v>-20</v>
      </c>
      <c r="Q2268">
        <v>4</v>
      </c>
      <c r="R2268" t="s">
        <v>0</v>
      </c>
      <c r="S2268" t="s">
        <v>0</v>
      </c>
      <c r="T2268" t="s">
        <v>0</v>
      </c>
    </row>
    <row r="2269" spans="1:20" x14ac:dyDescent="0.25">
      <c r="A2269">
        <v>21800041</v>
      </c>
      <c r="B2269" t="s">
        <v>4</v>
      </c>
      <c r="C2269" t="s">
        <v>34</v>
      </c>
      <c r="D2269">
        <v>91</v>
      </c>
      <c r="E2269">
        <v>68</v>
      </c>
      <c r="F2269">
        <v>23</v>
      </c>
      <c r="G2269">
        <v>3</v>
      </c>
      <c r="H2269" s="1">
        <v>1.8402777777777777E-3</v>
      </c>
      <c r="I2269">
        <v>2018</v>
      </c>
      <c r="J2269" t="s">
        <v>1</v>
      </c>
      <c r="K2269" s="2" t="str">
        <f>HYPERLINK("https://www.nba.com/stats/events?CFID=&amp;CFPARAMS=&amp;GameEventID=426&amp;GameID=0021800041&amp;Season=2018-19&amp;flag=1&amp;title=Ibaka%204'%20Driving%20Hook%20Shot%20(15%20PTS)%20(Leonard%203%20AST)", "Ibaka 4' Driving Hook Shot (15 PTS) (Leonard 3 AST)")</f>
        <v>Ibaka 4' Driving Hook Shot (15 PTS) (Leonard 3 AST)</v>
      </c>
      <c r="L2269" s="2" t="str">
        <f>HYPERLINK("https://www.nba.com/game/...-vs-...-0021800041/play-by-play?watchFullGame=true", "TOR vs CHA - Q3 02:39.00")</f>
        <v>TOR vs CHA - Q3 02:39.00</v>
      </c>
      <c r="M2269">
        <v>4</v>
      </c>
      <c r="N2269">
        <v>-13</v>
      </c>
      <c r="O2269">
        <v>37</v>
      </c>
      <c r="P2269">
        <v>-13</v>
      </c>
      <c r="Q2269">
        <v>37</v>
      </c>
      <c r="R2269" t="s">
        <v>0</v>
      </c>
      <c r="S2269" t="s">
        <v>0</v>
      </c>
      <c r="T2269" t="s">
        <v>0</v>
      </c>
    </row>
    <row r="2270" spans="1:20" x14ac:dyDescent="0.25">
      <c r="A2270">
        <v>21800123</v>
      </c>
      <c r="B2270" t="s">
        <v>4</v>
      </c>
      <c r="C2270" t="s">
        <v>17</v>
      </c>
      <c r="D2270">
        <v>2</v>
      </c>
      <c r="E2270">
        <v>0</v>
      </c>
      <c r="F2270">
        <v>2</v>
      </c>
      <c r="G2270">
        <v>1</v>
      </c>
      <c r="H2270" s="1">
        <v>7.9166666666666673E-3</v>
      </c>
      <c r="I2270">
        <v>2018</v>
      </c>
      <c r="J2270" t="s">
        <v>1</v>
      </c>
      <c r="K2270" s="2" t="str">
        <f>HYPERLINK("https://www.nba.com/stats/events?CFID=&amp;CFPARAMS=&amp;GameEventID=9&amp;GameID=0021800123&amp;Season=2018-19&amp;flag=1&amp;title=Valanciunas%207'%20Floating%20Jump%20Shot%20(2%20PTS)%20(Leonard%201%20AST)", "Valanciunas 7' Floating Jump Shot (2 PTS) (Leonard 1 AST)")</f>
        <v>Valanciunas 7' Floating Jump Shot (2 PTS) (Leonard 1 AST)</v>
      </c>
      <c r="L2270" s="2" t="str">
        <f>HYPERLINK("https://www.nba.com/game/...-vs-...-0021800123/play-by-play?watchFullGame=true", "TOR vs PHX - Q1 11:24.00")</f>
        <v>TOR vs PHX - Q1 11:24.00</v>
      </c>
      <c r="M2270">
        <v>7</v>
      </c>
      <c r="N2270">
        <v>20</v>
      </c>
      <c r="O2270">
        <v>63</v>
      </c>
      <c r="P2270">
        <v>20</v>
      </c>
      <c r="Q2270">
        <v>63</v>
      </c>
      <c r="R2270" t="s">
        <v>0</v>
      </c>
      <c r="S2270" t="s">
        <v>0</v>
      </c>
      <c r="T2270" t="s">
        <v>0</v>
      </c>
    </row>
    <row r="2271" spans="1:20" x14ac:dyDescent="0.25">
      <c r="A2271">
        <v>21800138</v>
      </c>
      <c r="B2271" t="s">
        <v>4</v>
      </c>
      <c r="C2271" t="s">
        <v>20</v>
      </c>
      <c r="D2271">
        <v>92</v>
      </c>
      <c r="E2271">
        <v>64</v>
      </c>
      <c r="F2271">
        <v>28</v>
      </c>
      <c r="G2271">
        <v>3</v>
      </c>
      <c r="H2271" s="1">
        <v>3.5879629629629629E-5</v>
      </c>
      <c r="I2271">
        <v>2018</v>
      </c>
      <c r="J2271" t="s">
        <v>12</v>
      </c>
      <c r="K2271" s="2" t="str">
        <f>HYPERLINK("https://www.nba.com/stats/events?CFID=&amp;CFPARAMS=&amp;GameEventID=493&amp;GameID=0021800138&amp;Season=2018-19&amp;flag=1&amp;title=Turner%20Cutting%20Layup%20Shot%20(5%20PTS)%20(Leonard%201%20AST)", "Turner Cutting Layup Shot (5 PTS) (Leonard 1 AST)")</f>
        <v>Turner Cutting Layup Shot (5 PTS) (Leonard 1 AST)</v>
      </c>
      <c r="L2271" s="2" t="str">
        <f>HYPERLINK("https://www.nba.com/game/...-vs-...-0021800138/play-by-play?watchFullGame=true", "POR vs MIN - Q3 00:03.10")</f>
        <v>POR vs MIN - Q3 00:03.10</v>
      </c>
      <c r="M2271">
        <v>0</v>
      </c>
      <c r="N2271">
        <v>1</v>
      </c>
      <c r="O2271">
        <v>-2</v>
      </c>
      <c r="P2271">
        <v>1</v>
      </c>
      <c r="Q2271">
        <v>-2</v>
      </c>
      <c r="R2271" t="s">
        <v>0</v>
      </c>
      <c r="S2271" t="s">
        <v>0</v>
      </c>
      <c r="T2271" t="s">
        <v>0</v>
      </c>
    </row>
    <row r="2272" spans="1:20" x14ac:dyDescent="0.25">
      <c r="A2272">
        <v>21800371</v>
      </c>
      <c r="B2272" t="s">
        <v>10</v>
      </c>
      <c r="C2272" t="s">
        <v>9</v>
      </c>
      <c r="D2272">
        <v>31</v>
      </c>
      <c r="E2272">
        <v>40</v>
      </c>
      <c r="F2272">
        <v>9</v>
      </c>
      <c r="G2272">
        <v>2</v>
      </c>
      <c r="H2272" s="1">
        <v>3.9699074074074072E-3</v>
      </c>
      <c r="I2272">
        <v>2018</v>
      </c>
      <c r="J2272" t="s">
        <v>1</v>
      </c>
      <c r="K2272" s="2" t="str">
        <f>HYPERLINK("https://www.nba.com/stats/events?CFID=&amp;CFPARAMS=&amp;GameEventID=249&amp;GameID=0021800371&amp;Season=2018-19&amp;flag=1&amp;title=Lowry%2027'%203PT%20Jump%20Shot%20(3%20PTS)%20(Leonard%201%20AST)", "Lowry 27' 3PT Jump Shot (3 PTS) (Leonard 1 AST)")</f>
        <v>Lowry 27' 3PT Jump Shot (3 PTS) (Leonard 1 AST)</v>
      </c>
      <c r="L2272" s="2" t="str">
        <f>HYPERLINK("https://www.nba.com/game/...-vs-...-0021800371/play-by-play?watchFullGame=true", "TOR vs BKN - Q2 05:43.00")</f>
        <v>TOR vs BKN - Q2 05:43.00</v>
      </c>
      <c r="M2272">
        <v>27</v>
      </c>
      <c r="N2272">
        <v>-103</v>
      </c>
      <c r="O2272">
        <v>247</v>
      </c>
      <c r="P2272">
        <v>-103</v>
      </c>
      <c r="Q2272">
        <v>247</v>
      </c>
      <c r="R2272" t="s">
        <v>0</v>
      </c>
      <c r="S2272" t="s">
        <v>0</v>
      </c>
      <c r="T2272" t="s">
        <v>0</v>
      </c>
    </row>
    <row r="2273" spans="1:20" x14ac:dyDescent="0.25">
      <c r="A2273">
        <v>21800450</v>
      </c>
      <c r="B2273" t="s">
        <v>4</v>
      </c>
      <c r="C2273" t="s">
        <v>5</v>
      </c>
      <c r="D2273">
        <v>104</v>
      </c>
      <c r="E2273">
        <v>88</v>
      </c>
      <c r="F2273">
        <v>16</v>
      </c>
      <c r="G2273">
        <v>4</v>
      </c>
      <c r="H2273" s="1">
        <v>7.6967592592592591E-3</v>
      </c>
      <c r="I2273">
        <v>2018</v>
      </c>
      <c r="J2273" t="s">
        <v>12</v>
      </c>
      <c r="K2273" s="2" t="str">
        <f>HYPERLINK("https://www.nba.com/stats/events?CFID=&amp;CFPARAMS=&amp;GameEventID=478&amp;GameID=0021800450&amp;Season=2018-19&amp;flag=1&amp;title=Turner%201'%20Layup%20(4%20PTS)%20(Leonard%202%20AST)", "Turner 1' Layup (4 PTS) (Leonard 2 AST)")</f>
        <v>Turner 1' Layup (4 PTS) (Leonard 2 AST)</v>
      </c>
      <c r="L2273" s="2" t="str">
        <f>HYPERLINK("https://www.nba.com/game/...-vs-...-0021800450/play-by-play?watchFullGame=true", "POR vs LAC - Q4 11:05.00")</f>
        <v>POR vs LAC - Q4 11:05.00</v>
      </c>
      <c r="M2273">
        <v>1</v>
      </c>
      <c r="N2273">
        <v>11</v>
      </c>
      <c r="O2273">
        <v>4</v>
      </c>
      <c r="P2273">
        <v>11</v>
      </c>
      <c r="Q2273">
        <v>4</v>
      </c>
      <c r="R2273" t="s">
        <v>0</v>
      </c>
      <c r="S2273" t="s">
        <v>0</v>
      </c>
      <c r="T2273" t="s">
        <v>0</v>
      </c>
    </row>
    <row r="2274" spans="1:20" x14ac:dyDescent="0.25">
      <c r="A2274">
        <v>21800459</v>
      </c>
      <c r="B2274" t="s">
        <v>4</v>
      </c>
      <c r="C2274" t="s">
        <v>20</v>
      </c>
      <c r="D2274">
        <v>13</v>
      </c>
      <c r="E2274">
        <v>19</v>
      </c>
      <c r="F2274">
        <v>6</v>
      </c>
      <c r="G2274">
        <v>1</v>
      </c>
      <c r="H2274" s="1">
        <v>3.460648148148148E-3</v>
      </c>
      <c r="I2274">
        <v>2018</v>
      </c>
      <c r="J2274" t="s">
        <v>1</v>
      </c>
      <c r="K2274" s="2" t="str">
        <f>HYPERLINK("https://www.nba.com/stats/events?CFID=&amp;CFPARAMS=&amp;GameEventID=91&amp;GameID=0021800459&amp;Season=2018-19&amp;flag=1&amp;title=Monroe%202'%20Cutting%20Layup%20Shot%20(10%20PTS)%20(Leonard%203%20AST)", "Monroe 2' Cutting Layup Shot (10 PTS) (Leonard 3 AST)")</f>
        <v>Monroe 2' Cutting Layup Shot (10 PTS) (Leonard 3 AST)</v>
      </c>
      <c r="L2274" s="2" t="str">
        <f>HYPERLINK("https://www.nba.com/game/...-vs-...-0021800459/play-by-play?watchFullGame=true", "TOR vs IND - Q1 04:59.00")</f>
        <v>TOR vs IND - Q1 04:59.00</v>
      </c>
      <c r="M2274">
        <v>2</v>
      </c>
      <c r="N2274">
        <v>-18</v>
      </c>
      <c r="O2274">
        <v>13</v>
      </c>
      <c r="P2274">
        <v>-18</v>
      </c>
      <c r="Q2274">
        <v>13</v>
      </c>
      <c r="R2274" t="s">
        <v>0</v>
      </c>
      <c r="S2274" t="s">
        <v>0</v>
      </c>
      <c r="T2274" t="s">
        <v>0</v>
      </c>
    </row>
    <row r="2275" spans="1:20" x14ac:dyDescent="0.25">
      <c r="A2275">
        <v>21800459</v>
      </c>
      <c r="B2275" t="s">
        <v>10</v>
      </c>
      <c r="C2275" t="s">
        <v>9</v>
      </c>
      <c r="D2275">
        <v>45</v>
      </c>
      <c r="E2275">
        <v>55</v>
      </c>
      <c r="F2275">
        <v>10</v>
      </c>
      <c r="G2275">
        <v>2</v>
      </c>
      <c r="H2275" s="1">
        <v>1.238425925925926E-3</v>
      </c>
      <c r="I2275">
        <v>2018</v>
      </c>
      <c r="J2275" t="s">
        <v>1</v>
      </c>
      <c r="K2275" s="2" t="str">
        <f>HYPERLINK("https://www.nba.com/stats/events?CFID=&amp;CFPARAMS=&amp;GameEventID=302&amp;GameID=0021800459&amp;Season=2018-19&amp;flag=1&amp;title=Green%2027'%203PT%20Jump%20Shot%20(3%20PTS)%20(Leonard%205%20AST)", "Green 27' 3PT Jump Shot (3 PTS) (Leonard 5 AST)")</f>
        <v>Green 27' 3PT Jump Shot (3 PTS) (Leonard 5 AST)</v>
      </c>
      <c r="L2275" s="2" t="str">
        <f>HYPERLINK("https://www.nba.com/game/...-vs-...-0021800459/play-by-play?watchFullGame=true", "TOR vs IND - Q2 01:47.00")</f>
        <v>TOR vs IND - Q2 01:47.00</v>
      </c>
      <c r="M2275">
        <v>27</v>
      </c>
      <c r="N2275">
        <v>85</v>
      </c>
      <c r="O2275">
        <v>252</v>
      </c>
      <c r="P2275">
        <v>85</v>
      </c>
      <c r="Q2275">
        <v>252</v>
      </c>
      <c r="R2275" t="s">
        <v>0</v>
      </c>
      <c r="S2275" t="s">
        <v>0</v>
      </c>
      <c r="T2275" t="s">
        <v>0</v>
      </c>
    </row>
    <row r="2276" spans="1:20" x14ac:dyDescent="0.25">
      <c r="A2276">
        <v>41200234</v>
      </c>
      <c r="B2276" t="s">
        <v>10</v>
      </c>
      <c r="C2276" t="s">
        <v>19</v>
      </c>
      <c r="D2276">
        <v>50</v>
      </c>
      <c r="E2276">
        <v>44</v>
      </c>
      <c r="F2276">
        <v>6</v>
      </c>
      <c r="G2276">
        <v>3</v>
      </c>
      <c r="H2276" s="1">
        <v>6.5162037037037037E-3</v>
      </c>
      <c r="I2276" t="s">
        <v>27</v>
      </c>
      <c r="J2276" t="s">
        <v>7</v>
      </c>
      <c r="K2276" s="2" t="str">
        <f>HYPERLINK("https://www.nba.com/stats/events?CFID=&amp;CFPARAMS=&amp;GameEventID=329&amp;GameID=0041200234&amp;Season=2012-13&amp;flag=1&amp;title=Green%20%203PT%20Pullup%20Jump%20Shot%20(7%20PTS)%20(Leonard%202%20AST)", "Green  3PT Pullup Jump Shot (7 PTS) (Leonard 2 AST)")</f>
        <v>Green  3PT Pullup Jump Shot (7 PTS) (Leonard 2 AST)</v>
      </c>
      <c r="L2276" s="2" t="str">
        <f>HYPERLINK("https://www.nba.com/game/...-vs-...-0041200234/play-by-play?watchFullGame=true", "SAS vs GSW - Q3 09:23.00")</f>
        <v>SAS vs GSW - Q3 09:23.00</v>
      </c>
      <c r="M2276">
        <v>0</v>
      </c>
      <c r="N2276">
        <v>-226</v>
      </c>
      <c r="O2276">
        <v>41</v>
      </c>
      <c r="P2276">
        <v>-226</v>
      </c>
      <c r="Q2276">
        <v>41</v>
      </c>
      <c r="R2276" t="s">
        <v>0</v>
      </c>
      <c r="S2276" t="s">
        <v>0</v>
      </c>
      <c r="T2276" t="s">
        <v>0</v>
      </c>
    </row>
    <row r="2277" spans="1:20" x14ac:dyDescent="0.25">
      <c r="A2277">
        <v>41300147</v>
      </c>
      <c r="B2277" t="s">
        <v>10</v>
      </c>
      <c r="C2277" t="s">
        <v>9</v>
      </c>
      <c r="D2277">
        <v>5</v>
      </c>
      <c r="E2277">
        <v>2</v>
      </c>
      <c r="F2277">
        <v>3</v>
      </c>
      <c r="G2277">
        <v>1</v>
      </c>
      <c r="H2277" s="1">
        <v>7.3611111111111108E-3</v>
      </c>
      <c r="I2277" t="s">
        <v>15</v>
      </c>
      <c r="J2277" t="s">
        <v>7</v>
      </c>
      <c r="K2277" s="2" t="str">
        <f>HYPERLINK("https://www.nba.com/stats/events?CFID=&amp;CFPARAMS=&amp;GameEventID=10&amp;GameID=0041300147&amp;Season=2013-14&amp;flag=1&amp;title=Green%2025'%203PT%20Jump%20Shot%20(3%20PTS)%20(Leonard%201%20AST)", "Green 25' 3PT Jump Shot (3 PTS) (Leonard 1 AST)")</f>
        <v>Green 25' 3PT Jump Shot (3 PTS) (Leonard 1 AST)</v>
      </c>
      <c r="L2277" s="2" t="str">
        <f>HYPERLINK("https://www.nba.com/game/...-vs-...-0041300147/play-by-play?watchFullGame=true", "SAS vs DAL - Q1 10:36.00")</f>
        <v>SAS vs DAL - Q1 10:36.00</v>
      </c>
      <c r="M2277">
        <v>25</v>
      </c>
      <c r="N2277">
        <v>174</v>
      </c>
      <c r="O2277">
        <v>186</v>
      </c>
      <c r="P2277">
        <v>174</v>
      </c>
      <c r="Q2277">
        <v>186</v>
      </c>
      <c r="R2277" t="s">
        <v>0</v>
      </c>
      <c r="S2277" t="s">
        <v>0</v>
      </c>
      <c r="T2277" t="s">
        <v>0</v>
      </c>
    </row>
    <row r="2278" spans="1:20" x14ac:dyDescent="0.25">
      <c r="A2278">
        <v>41400164</v>
      </c>
      <c r="B2278" t="s">
        <v>4</v>
      </c>
      <c r="C2278" t="s">
        <v>5</v>
      </c>
      <c r="D2278">
        <v>23</v>
      </c>
      <c r="E2278">
        <v>23</v>
      </c>
      <c r="F2278">
        <v>0</v>
      </c>
      <c r="G2278">
        <v>1</v>
      </c>
      <c r="H2278" s="1">
        <v>1.1342592592592593E-3</v>
      </c>
      <c r="I2278" t="s">
        <v>13</v>
      </c>
      <c r="J2278" t="s">
        <v>7</v>
      </c>
      <c r="K2278" s="2" t="str">
        <f>HYPERLINK("https://www.nba.com/stats/events?CFID=&amp;CFPARAMS=&amp;GameEventID=94&amp;GameID=0041400164&amp;Season=2014-15&amp;flag=1&amp;title=Mills%201'%20Layup%20(2%20PTS)%20(Leonard%202%20AST)", "Mills 1' Layup (2 PTS) (Leonard 2 AST)")</f>
        <v>Mills 1' Layup (2 PTS) (Leonard 2 AST)</v>
      </c>
      <c r="L2278" s="2" t="str">
        <f>HYPERLINK("https://www.nba.com/game/...-vs-...-0041400164/play-by-play?watchFullGame=true", "SAS vs LAC - Q1 01:38.00")</f>
        <v>SAS vs LAC - Q1 01:38.00</v>
      </c>
      <c r="M2278">
        <v>1</v>
      </c>
      <c r="N2278">
        <v>-2</v>
      </c>
      <c r="O2278">
        <v>11</v>
      </c>
      <c r="P2278">
        <v>-2</v>
      </c>
      <c r="Q2278">
        <v>11</v>
      </c>
      <c r="R2278" t="s">
        <v>0</v>
      </c>
      <c r="S2278" t="s">
        <v>0</v>
      </c>
      <c r="T2278" t="s">
        <v>0</v>
      </c>
    </row>
    <row r="2279" spans="1:20" x14ac:dyDescent="0.25">
      <c r="A2279">
        <v>41500153</v>
      </c>
      <c r="B2279" t="s">
        <v>10</v>
      </c>
      <c r="C2279" t="s">
        <v>9</v>
      </c>
      <c r="D2279">
        <v>54</v>
      </c>
      <c r="E2279">
        <v>51</v>
      </c>
      <c r="F2279">
        <v>3</v>
      </c>
      <c r="G2279">
        <v>3</v>
      </c>
      <c r="H2279" s="1">
        <v>5.4050925925925924E-3</v>
      </c>
      <c r="I2279" t="s">
        <v>11</v>
      </c>
      <c r="J2279" t="s">
        <v>7</v>
      </c>
      <c r="K2279" s="2" t="str">
        <f>HYPERLINK("https://www.nba.com/stats/events?CFID=&amp;CFPARAMS=&amp;GameEventID=281&amp;GameID=0041500153&amp;Season=2015-16&amp;flag=1&amp;title=Green%2024'%203PT%20Jump%20Shot%20(6%20PTS)%20(Leonard%202%20AST)", "Green 24' 3PT Jump Shot (6 PTS) (Leonard 2 AST)")</f>
        <v>Green 24' 3PT Jump Shot (6 PTS) (Leonard 2 AST)</v>
      </c>
      <c r="L2279" s="2" t="str">
        <f>HYPERLINK("https://www.nba.com/game/...-vs-...-0041500153/play-by-play?watchFullGame=true", "SAS vs MEM - Q3 07:47.00")</f>
        <v>SAS vs MEM - Q3 07:47.00</v>
      </c>
      <c r="M2279">
        <v>24</v>
      </c>
      <c r="N2279">
        <v>140</v>
      </c>
      <c r="O2279">
        <v>200</v>
      </c>
      <c r="P2279">
        <v>140</v>
      </c>
      <c r="Q2279">
        <v>200</v>
      </c>
      <c r="R2279" t="s">
        <v>0</v>
      </c>
      <c r="S2279" t="s">
        <v>0</v>
      </c>
      <c r="T2279" t="s">
        <v>0</v>
      </c>
    </row>
    <row r="2280" spans="1:20" x14ac:dyDescent="0.25">
      <c r="A2280">
        <v>41500154</v>
      </c>
      <c r="B2280" t="s">
        <v>4</v>
      </c>
      <c r="C2280" t="s">
        <v>38</v>
      </c>
      <c r="D2280">
        <v>82</v>
      </c>
      <c r="E2280">
        <v>62</v>
      </c>
      <c r="F2280">
        <v>20</v>
      </c>
      <c r="G2280">
        <v>3</v>
      </c>
      <c r="H2280" s="1">
        <v>7.6388888888888893E-4</v>
      </c>
      <c r="I2280" t="s">
        <v>11</v>
      </c>
      <c r="J2280" t="s">
        <v>7</v>
      </c>
      <c r="K2280" s="2" t="str">
        <f>HYPERLINK("https://www.nba.com/stats/events?CFID=&amp;CFPARAMS=&amp;GameEventID=402&amp;GameID=0041500154&amp;Season=2015-16&amp;flag=1&amp;title=West%20%20Dunk%20(5%20PTS)%20(Leonard%204%20AST)", "West  Dunk (5 PTS) (Leonard 4 AST)")</f>
        <v>West  Dunk (5 PTS) (Leonard 4 AST)</v>
      </c>
      <c r="L2280" s="2" t="str">
        <f>HYPERLINK("https://www.nba.com/game/...-vs-...-0041500154/play-by-play?watchFullGame=true", "SAS vs MEM - Q3 01:06.00")</f>
        <v>SAS vs MEM - Q3 01:06.00</v>
      </c>
      <c r="M2280">
        <v>0</v>
      </c>
      <c r="N2280">
        <v>0</v>
      </c>
      <c r="O2280">
        <v>1</v>
      </c>
      <c r="P2280">
        <v>0</v>
      </c>
      <c r="Q2280">
        <v>1</v>
      </c>
      <c r="R2280" t="s">
        <v>0</v>
      </c>
      <c r="S2280" t="s">
        <v>0</v>
      </c>
      <c r="T2280" t="s">
        <v>0</v>
      </c>
    </row>
    <row r="2281" spans="1:20" x14ac:dyDescent="0.25">
      <c r="A2281">
        <v>21800519</v>
      </c>
      <c r="B2281" t="s">
        <v>4</v>
      </c>
      <c r="C2281" t="s">
        <v>9</v>
      </c>
      <c r="D2281">
        <v>42</v>
      </c>
      <c r="E2281">
        <v>36</v>
      </c>
      <c r="F2281">
        <v>6</v>
      </c>
      <c r="G2281">
        <v>2</v>
      </c>
      <c r="H2281" s="1">
        <v>4.2824074074074075E-3</v>
      </c>
      <c r="I2281">
        <v>2018</v>
      </c>
      <c r="J2281" t="s">
        <v>1</v>
      </c>
      <c r="K2281" s="2" t="str">
        <f>HYPERLINK("https://www.nba.com/stats/events?CFID=&amp;CFPARAMS=&amp;GameEventID=260&amp;GameID=0021800519&amp;Season=2018-19&amp;flag=1&amp;title=Ibaka%2021'%20Jump%20Shot%20(6%20PTS)%20(Leonard%201%20AST)", "Ibaka 21' Jump Shot (6 PTS) (Leonard 1 AST)")</f>
        <v>Ibaka 21' Jump Shot (6 PTS) (Leonard 1 AST)</v>
      </c>
      <c r="L2281" s="2" t="str">
        <f>HYPERLINK("https://www.nba.com/game/...-vs-...-0021800519/play-by-play?watchFullGame=true", "TOR vs ORL - Q2 06:10.00")</f>
        <v>TOR vs ORL - Q2 06:10.00</v>
      </c>
      <c r="M2281">
        <v>21</v>
      </c>
      <c r="N2281">
        <v>100</v>
      </c>
      <c r="O2281">
        <v>184</v>
      </c>
      <c r="P2281">
        <v>100</v>
      </c>
      <c r="Q2281">
        <v>184</v>
      </c>
      <c r="R2281" t="s">
        <v>0</v>
      </c>
      <c r="S2281" t="s">
        <v>0</v>
      </c>
      <c r="T2281" t="s">
        <v>0</v>
      </c>
    </row>
    <row r="2282" spans="1:20" x14ac:dyDescent="0.25">
      <c r="A2282">
        <v>21800563</v>
      </c>
      <c r="B2282" t="s">
        <v>4</v>
      </c>
      <c r="C2282" t="s">
        <v>9</v>
      </c>
      <c r="D2282">
        <v>49</v>
      </c>
      <c r="E2282">
        <v>64</v>
      </c>
      <c r="F2282">
        <v>15</v>
      </c>
      <c r="G2282">
        <v>2</v>
      </c>
      <c r="H2282" s="1">
        <v>7.0601851851851847E-4</v>
      </c>
      <c r="I2282">
        <v>2018</v>
      </c>
      <c r="J2282" t="s">
        <v>1</v>
      </c>
      <c r="K2282" s="2" t="str">
        <f>HYPERLINK("https://www.nba.com/stats/events?CFID=&amp;CFPARAMS=&amp;GameEventID=300&amp;GameID=0021800563&amp;Season=2018-19&amp;flag=1&amp;title=Ibaka%2019'%20Jump%20Shot%20(7%20PTS)%20(Leonard%203%20AST)", "Ibaka 19' Jump Shot (7 PTS) (Leonard 3 AST)")</f>
        <v>Ibaka 19' Jump Shot (7 PTS) (Leonard 3 AST)</v>
      </c>
      <c r="L2282" s="2" t="str">
        <f>HYPERLINK("https://www.nba.com/game/...-vs-...-0021800563/play-by-play?watchFullGame=true", "TOR vs SAS - Q2 01:01.00")</f>
        <v>TOR vs SAS - Q2 01:01.00</v>
      </c>
      <c r="M2282">
        <v>19</v>
      </c>
      <c r="N2282">
        <v>111</v>
      </c>
      <c r="O2282">
        <v>152</v>
      </c>
      <c r="P2282">
        <v>111</v>
      </c>
      <c r="Q2282">
        <v>152</v>
      </c>
      <c r="R2282" t="s">
        <v>0</v>
      </c>
      <c r="S2282" t="s">
        <v>0</v>
      </c>
      <c r="T2282" t="s">
        <v>0</v>
      </c>
    </row>
    <row r="2283" spans="1:20" x14ac:dyDescent="0.25">
      <c r="A2283">
        <v>21800597</v>
      </c>
      <c r="B2283" t="s">
        <v>10</v>
      </c>
      <c r="C2283" t="s">
        <v>9</v>
      </c>
      <c r="D2283">
        <v>98</v>
      </c>
      <c r="E2283">
        <v>82</v>
      </c>
      <c r="F2283">
        <v>16</v>
      </c>
      <c r="G2283">
        <v>4</v>
      </c>
      <c r="H2283" s="1">
        <v>5.162037037037037E-3</v>
      </c>
      <c r="I2283">
        <v>2018</v>
      </c>
      <c r="J2283" t="s">
        <v>12</v>
      </c>
      <c r="K2283" s="2" t="str">
        <f>HYPERLINK("https://www.nba.com/stats/events?CFID=&amp;CFPARAMS=&amp;GameEventID=538&amp;GameID=0021800597&amp;Season=2018-19&amp;flag=1&amp;title=Curry%2026'%203PT%20Jump%20Shot%20(11%20PTS)%20(Leonard%204%20AST)", "Curry 26' 3PT Jump Shot (11 PTS) (Leonard 4 AST)")</f>
        <v>Curry 26' 3PT Jump Shot (11 PTS) (Leonard 4 AST)</v>
      </c>
      <c r="L2283" s="2" t="str">
        <f>HYPERLINK("https://www.nba.com/game/...-vs-...-0021800597/play-by-play?watchFullGame=true", "POR vs NYK - Q4 07:26.00")</f>
        <v>POR vs NYK - Q4 07:26.00</v>
      </c>
      <c r="M2283">
        <v>26</v>
      </c>
      <c r="N2283">
        <v>174</v>
      </c>
      <c r="O2283">
        <v>190</v>
      </c>
      <c r="P2283">
        <v>174</v>
      </c>
      <c r="Q2283">
        <v>190</v>
      </c>
      <c r="R2283" t="s">
        <v>0</v>
      </c>
      <c r="S2283" t="s">
        <v>0</v>
      </c>
      <c r="T2283" t="s">
        <v>0</v>
      </c>
    </row>
    <row r="2284" spans="1:20" x14ac:dyDescent="0.25">
      <c r="A2284">
        <v>21800649</v>
      </c>
      <c r="B2284" t="s">
        <v>10</v>
      </c>
      <c r="C2284" t="s">
        <v>9</v>
      </c>
      <c r="D2284">
        <v>85</v>
      </c>
      <c r="E2284">
        <v>93</v>
      </c>
      <c r="F2284">
        <v>8</v>
      </c>
      <c r="G2284">
        <v>4</v>
      </c>
      <c r="H2284" s="1">
        <v>5.7291666666666663E-3</v>
      </c>
      <c r="I2284">
        <v>2018</v>
      </c>
      <c r="J2284" t="s">
        <v>12</v>
      </c>
      <c r="K2284" s="2" t="str">
        <f>HYPERLINK("https://www.nba.com/stats/events?CFID=&amp;CFPARAMS=&amp;GameEventID=516&amp;GameID=0021800649&amp;Season=2018-19&amp;flag=1&amp;title=Turner%2026'%203PT%20Jump%20Shot%20(8%20PTS)%20(Leonard%202%20AST)", "Turner 26' 3PT Jump Shot (8 PTS) (Leonard 2 AST)")</f>
        <v>Turner 26' 3PT Jump Shot (8 PTS) (Leonard 2 AST)</v>
      </c>
      <c r="L2284" s="2" t="str">
        <f>HYPERLINK("https://www.nba.com/game/...-vs-...-0021800649/play-by-play?watchFullGame=true", "POR vs SAC - Q4 08:15.00")</f>
        <v>POR vs SAC - Q4 08:15.00</v>
      </c>
      <c r="M2284">
        <v>26</v>
      </c>
      <c r="N2284">
        <v>-159</v>
      </c>
      <c r="O2284">
        <v>205</v>
      </c>
      <c r="P2284">
        <v>-159</v>
      </c>
      <c r="Q2284">
        <v>205</v>
      </c>
      <c r="R2284" t="s">
        <v>0</v>
      </c>
      <c r="S2284" t="s">
        <v>0</v>
      </c>
      <c r="T2284" t="s">
        <v>0</v>
      </c>
    </row>
    <row r="2285" spans="1:20" x14ac:dyDescent="0.25">
      <c r="A2285">
        <v>21800828</v>
      </c>
      <c r="B2285" t="s">
        <v>10</v>
      </c>
      <c r="C2285" t="s">
        <v>9</v>
      </c>
      <c r="D2285">
        <v>91</v>
      </c>
      <c r="E2285">
        <v>86</v>
      </c>
      <c r="F2285">
        <v>5</v>
      </c>
      <c r="G2285">
        <v>4</v>
      </c>
      <c r="H2285" s="1">
        <v>4.409722222222222E-3</v>
      </c>
      <c r="I2285">
        <v>2018</v>
      </c>
      <c r="J2285" t="s">
        <v>1</v>
      </c>
      <c r="K2285" s="2" t="str">
        <f>HYPERLINK("https://www.nba.com/stats/events?CFID=&amp;CFPARAMS=&amp;GameEventID=570&amp;GameID=0021800828&amp;Season=2018-19&amp;flag=1&amp;title=Green%2026'%203PT%20Jump%20Shot%20(8%20PTS)%20(Leonard%206%20AST)", "Green 26' 3PT Jump Shot (8 PTS) (Leonard 6 AST)")</f>
        <v>Green 26' 3PT Jump Shot (8 PTS) (Leonard 6 AST)</v>
      </c>
      <c r="L2285" s="2" t="str">
        <f>HYPERLINK("https://www.nba.com/game/...-vs-...-0021800828/play-by-play?watchFullGame=true", "TOR vs NYK - Q4 06:21.00")</f>
        <v>TOR vs NYK - Q4 06:21.00</v>
      </c>
      <c r="M2285">
        <v>26</v>
      </c>
      <c r="N2285">
        <v>-68</v>
      </c>
      <c r="O2285">
        <v>253</v>
      </c>
      <c r="P2285">
        <v>-68</v>
      </c>
      <c r="Q2285">
        <v>253</v>
      </c>
      <c r="R2285" t="s">
        <v>0</v>
      </c>
      <c r="S2285" t="s">
        <v>0</v>
      </c>
      <c r="T2285" t="s">
        <v>0</v>
      </c>
    </row>
    <row r="2286" spans="1:20" x14ac:dyDescent="0.25">
      <c r="A2286">
        <v>21801001</v>
      </c>
      <c r="B2286" t="s">
        <v>10</v>
      </c>
      <c r="C2286" t="s">
        <v>9</v>
      </c>
      <c r="D2286">
        <v>14</v>
      </c>
      <c r="E2286">
        <v>14</v>
      </c>
      <c r="F2286">
        <v>0</v>
      </c>
      <c r="G2286">
        <v>1</v>
      </c>
      <c r="H2286" s="1">
        <v>4.0277777777777777E-3</v>
      </c>
      <c r="I2286">
        <v>2018</v>
      </c>
      <c r="J2286" t="s">
        <v>1</v>
      </c>
      <c r="K2286" s="2" t="str">
        <f>HYPERLINK("https://www.nba.com/stats/events?CFID=&amp;CFPARAMS=&amp;GameEventID=68&amp;GameID=0021801001&amp;Season=2018-19&amp;flag=1&amp;title=Lowry%2027'%203PT%20Jump%20Shot%20(3%20PTS)%20(Leonard%201%20AST)", "Lowry 27' 3PT Jump Shot (3 PTS) (Leonard 1 AST)")</f>
        <v>Lowry 27' 3PT Jump Shot (3 PTS) (Leonard 1 AST)</v>
      </c>
      <c r="L2286" s="2" t="str">
        <f>HYPERLINK("https://www.nba.com/game/...-vs-...-0021801001/play-by-play?watchFullGame=true", "TOR vs CLE - Q1 05:48.00")</f>
        <v>TOR vs CLE - Q1 05:48.00</v>
      </c>
      <c r="M2286">
        <v>27</v>
      </c>
      <c r="N2286">
        <v>172</v>
      </c>
      <c r="O2286">
        <v>214</v>
      </c>
      <c r="P2286">
        <v>172</v>
      </c>
      <c r="Q2286">
        <v>214</v>
      </c>
      <c r="R2286" t="s">
        <v>0</v>
      </c>
      <c r="S2286" t="s">
        <v>0</v>
      </c>
      <c r="T2286" t="s">
        <v>0</v>
      </c>
    </row>
    <row r="2287" spans="1:20" x14ac:dyDescent="0.25">
      <c r="A2287">
        <v>21801072</v>
      </c>
      <c r="B2287" t="s">
        <v>10</v>
      </c>
      <c r="C2287" t="s">
        <v>9</v>
      </c>
      <c r="D2287">
        <v>17</v>
      </c>
      <c r="E2287">
        <v>15</v>
      </c>
      <c r="F2287">
        <v>2</v>
      </c>
      <c r="G2287">
        <v>1</v>
      </c>
      <c r="H2287" s="1">
        <v>4.4212962962962964E-3</v>
      </c>
      <c r="I2287">
        <v>2018</v>
      </c>
      <c r="J2287" t="s">
        <v>1</v>
      </c>
      <c r="K2287" s="2" t="str">
        <f>HYPERLINK("https://www.nba.com/stats/events?CFID=&amp;CFPARAMS=&amp;GameEventID=69&amp;GameID=0021801072&amp;Season=2018-19&amp;flag=1&amp;title=Green%2026'%203PT%20Jump%20Shot%20(6%20PTS)%20(Leonard%202%20AST)", "Green 26' 3PT Jump Shot (6 PTS) (Leonard 2 AST)")</f>
        <v>Green 26' 3PT Jump Shot (6 PTS) (Leonard 2 AST)</v>
      </c>
      <c r="L2287" s="2" t="str">
        <f>HYPERLINK("https://www.nba.com/game/...-vs-...-0021801072/play-by-play?watchFullGame=true", "TOR vs OKC - Q1 06:22.00")</f>
        <v>TOR vs OKC - Q1 06:22.00</v>
      </c>
      <c r="M2287">
        <v>26</v>
      </c>
      <c r="N2287">
        <v>-132</v>
      </c>
      <c r="O2287">
        <v>228</v>
      </c>
      <c r="P2287">
        <v>-132</v>
      </c>
      <c r="Q2287">
        <v>228</v>
      </c>
      <c r="R2287" t="s">
        <v>0</v>
      </c>
      <c r="S2287" t="s">
        <v>0</v>
      </c>
      <c r="T2287" t="s">
        <v>0</v>
      </c>
    </row>
    <row r="2288" spans="1:20" x14ac:dyDescent="0.25">
      <c r="A2288">
        <v>41200231</v>
      </c>
      <c r="B2288" t="s">
        <v>10</v>
      </c>
      <c r="C2288" t="s">
        <v>9</v>
      </c>
      <c r="D2288">
        <v>129</v>
      </c>
      <c r="E2288">
        <v>127</v>
      </c>
      <c r="F2288">
        <v>2</v>
      </c>
      <c r="G2288">
        <v>6</v>
      </c>
      <c r="H2288" s="1">
        <v>1.3888888888888888E-5</v>
      </c>
      <c r="I2288" t="s">
        <v>27</v>
      </c>
      <c r="J2288" t="s">
        <v>7</v>
      </c>
      <c r="K2288" s="2" t="str">
        <f>HYPERLINK("https://www.nba.com/stats/events?CFID=&amp;CFPARAMS=&amp;GameEventID=628&amp;GameID=0041200231&amp;Season=2012-13&amp;flag=1&amp;title=Ginobili%2026'%203PT%20Jump%20Shot%20(16%20PTS)%20(Leonard%203%20AST)", "Ginobili 26' 3PT Jump Shot (16 PTS) (Leonard 3 AST)")</f>
        <v>Ginobili 26' 3PT Jump Shot (16 PTS) (Leonard 3 AST)</v>
      </c>
      <c r="L2288" s="2" t="str">
        <f>HYPERLINK("https://www.nba.com/game/...-vs-...-0041200231/play-by-play?watchFullGame=true", "SAS vs GSW - Q6 00:01.20")</f>
        <v>SAS vs GSW - Q6 00:01.20</v>
      </c>
      <c r="M2288">
        <v>26</v>
      </c>
      <c r="N2288">
        <v>-198</v>
      </c>
      <c r="O2288">
        <v>175</v>
      </c>
      <c r="P2288">
        <v>-198</v>
      </c>
      <c r="Q2288">
        <v>175</v>
      </c>
      <c r="R2288" t="s">
        <v>0</v>
      </c>
      <c r="S2288" t="s">
        <v>0</v>
      </c>
      <c r="T2288" t="s">
        <v>0</v>
      </c>
    </row>
    <row r="2289" spans="1:20" x14ac:dyDescent="0.25">
      <c r="A2289">
        <v>41200234</v>
      </c>
      <c r="B2289" t="s">
        <v>4</v>
      </c>
      <c r="C2289" t="s">
        <v>47</v>
      </c>
      <c r="D2289">
        <v>2</v>
      </c>
      <c r="E2289">
        <v>2</v>
      </c>
      <c r="F2289">
        <v>0</v>
      </c>
      <c r="G2289">
        <v>1</v>
      </c>
      <c r="H2289" s="1">
        <v>7.9282407407407409E-3</v>
      </c>
      <c r="I2289" t="s">
        <v>27</v>
      </c>
      <c r="J2289" t="s">
        <v>7</v>
      </c>
      <c r="K2289" s="2" t="str">
        <f>HYPERLINK("https://www.nba.com/stats/events?CFID=&amp;CFPARAMS=&amp;GameEventID=4&amp;GameID=0041200234&amp;Season=2012-13&amp;flag=1&amp;title=Green%201'%20Driving%20Slam%20Dunk%20(2%20PTS)%20(Leonard%201%20AST)", "Green 1' Driving Slam Dunk (2 PTS) (Leonard 1 AST)")</f>
        <v>Green 1' Driving Slam Dunk (2 PTS) (Leonard 1 AST)</v>
      </c>
      <c r="L2289" s="2" t="str">
        <f>HYPERLINK("https://www.nba.com/game/...-vs-...-0041200234/play-by-play?watchFullGame=true", "SAS vs GSW - Q1 11:25.00")</f>
        <v>SAS vs GSW - Q1 11:25.00</v>
      </c>
      <c r="M2289">
        <v>1</v>
      </c>
      <c r="N2289">
        <v>-2</v>
      </c>
      <c r="O2289">
        <v>12</v>
      </c>
      <c r="P2289">
        <v>-2</v>
      </c>
      <c r="Q2289">
        <v>12</v>
      </c>
      <c r="R2289" t="s">
        <v>0</v>
      </c>
      <c r="S2289" t="s">
        <v>0</v>
      </c>
      <c r="T2289" t="s">
        <v>0</v>
      </c>
    </row>
    <row r="2290" spans="1:20" x14ac:dyDescent="0.25">
      <c r="A2290">
        <v>41300403</v>
      </c>
      <c r="B2290" t="s">
        <v>10</v>
      </c>
      <c r="C2290" t="s">
        <v>9</v>
      </c>
      <c r="D2290">
        <v>97</v>
      </c>
      <c r="E2290">
        <v>82</v>
      </c>
      <c r="F2290">
        <v>15</v>
      </c>
      <c r="G2290">
        <v>4</v>
      </c>
      <c r="H2290" s="1">
        <v>4.8263888888888887E-3</v>
      </c>
      <c r="I2290" t="s">
        <v>15</v>
      </c>
      <c r="J2290" t="s">
        <v>7</v>
      </c>
      <c r="K2290" s="2" t="str">
        <f>HYPERLINK("https://www.nba.com/stats/events?CFID=&amp;CFPARAMS=&amp;GameEventID=415&amp;GameID=0041300403&amp;Season=2013-14&amp;flag=1&amp;title=Parker%2026'%203PT%20Jump%20Shot%20(13%20PTS)%20(Leonard%202%20AST)", "Parker 26' 3PT Jump Shot (13 PTS) (Leonard 2 AST)")</f>
        <v>Parker 26' 3PT Jump Shot (13 PTS) (Leonard 2 AST)</v>
      </c>
      <c r="L2290" s="2" t="str">
        <f>HYPERLINK("https://www.nba.com/game/...-vs-...-0041300403/play-by-play?watchFullGame=true", "SAS vs MIA - Q4 06:57.00")</f>
        <v>SAS vs MIA - Q4 06:57.00</v>
      </c>
      <c r="M2290">
        <v>26</v>
      </c>
      <c r="N2290">
        <v>168</v>
      </c>
      <c r="O2290">
        <v>194</v>
      </c>
      <c r="P2290">
        <v>168</v>
      </c>
      <c r="Q2290">
        <v>194</v>
      </c>
      <c r="R2290" t="s">
        <v>0</v>
      </c>
      <c r="S2290" t="s">
        <v>0</v>
      </c>
      <c r="T2290" t="s">
        <v>0</v>
      </c>
    </row>
    <row r="2291" spans="1:20" x14ac:dyDescent="0.25">
      <c r="A2291">
        <v>21601193</v>
      </c>
      <c r="B2291" t="s">
        <v>10</v>
      </c>
      <c r="C2291" t="s">
        <v>9</v>
      </c>
      <c r="D2291">
        <v>63</v>
      </c>
      <c r="E2291">
        <v>68</v>
      </c>
      <c r="F2291">
        <v>5</v>
      </c>
      <c r="G2291">
        <v>3</v>
      </c>
      <c r="H2291" s="1">
        <v>3.2175925925925926E-3</v>
      </c>
      <c r="I2291">
        <v>2016</v>
      </c>
      <c r="J2291" t="s">
        <v>7</v>
      </c>
      <c r="K2291" s="2" t="str">
        <f>HYPERLINK("https://www.nba.com/stats/events?CFID=&amp;CFPARAMS=&amp;GameEventID=310&amp;GameID=0021601193&amp;Season=2016-17&amp;flag=1&amp;title=Mills%2024'%203PT%20Jump%20Shot%20(3%20PTS)%20(Leonard%204%20AST)", "Mills 24' 3PT Jump Shot (3 PTS) (Leonard 4 AST)")</f>
        <v>Mills 24' 3PT Jump Shot (3 PTS) (Leonard 4 AST)</v>
      </c>
      <c r="L2291" s="2" t="str">
        <f>HYPERLINK("https://www.nba.com/game/...-vs-...-0021601193/play-by-play?watchFullGame=true", "SAS vs LAC - Q3 04:38.00")</f>
        <v>SAS vs LAC - Q3 04:38.00</v>
      </c>
      <c r="M2291">
        <v>24</v>
      </c>
      <c r="N2291">
        <v>1</v>
      </c>
      <c r="O2291">
        <v>239</v>
      </c>
      <c r="P2291">
        <v>1</v>
      </c>
      <c r="Q2291">
        <v>239</v>
      </c>
      <c r="R2291" t="s">
        <v>0</v>
      </c>
      <c r="S2291" t="s">
        <v>0</v>
      </c>
      <c r="T2291" t="s">
        <v>0</v>
      </c>
    </row>
    <row r="2292" spans="1:20" x14ac:dyDescent="0.25">
      <c r="A2292">
        <v>21700633</v>
      </c>
      <c r="B2292" t="s">
        <v>4</v>
      </c>
      <c r="C2292" t="s">
        <v>9</v>
      </c>
      <c r="D2292">
        <v>2</v>
      </c>
      <c r="E2292">
        <v>0</v>
      </c>
      <c r="F2292">
        <v>2</v>
      </c>
      <c r="G2292">
        <v>1</v>
      </c>
      <c r="H2292" s="1">
        <v>7.8472222222222224E-3</v>
      </c>
      <c r="I2292">
        <v>2017</v>
      </c>
      <c r="J2292" t="s">
        <v>7</v>
      </c>
      <c r="K2292" s="2" t="str">
        <f>HYPERLINK("https://www.nba.com/stats/events?CFID=&amp;CFPARAMS=&amp;GameEventID=12&amp;GameID=0021700633&amp;Season=2017-18&amp;flag=1&amp;title=Gasol%2018'%20Jump%20Shot%20(2%20PTS)%20(Leonard%201%20AST)", "Gasol 18' Jump Shot (2 PTS) (Leonard 1 AST)")</f>
        <v>Gasol 18' Jump Shot (2 PTS) (Leonard 1 AST)</v>
      </c>
      <c r="L2292" s="2" t="str">
        <f>HYPERLINK("https://www.nba.com/game/...-vs-...-0021700633/play-by-play?watchFullGame=true", "SAS vs DEN - Q1 11:18.00")</f>
        <v>SAS vs DEN - Q1 11:18.00</v>
      </c>
      <c r="M2292">
        <v>18</v>
      </c>
      <c r="N2292">
        <v>139</v>
      </c>
      <c r="O2292">
        <v>116</v>
      </c>
      <c r="P2292">
        <v>139</v>
      </c>
      <c r="Q2292">
        <v>116</v>
      </c>
      <c r="R2292" t="s">
        <v>0</v>
      </c>
      <c r="S2292" t="s">
        <v>0</v>
      </c>
      <c r="T2292" t="s">
        <v>0</v>
      </c>
    </row>
    <row r="2293" spans="1:20" x14ac:dyDescent="0.25">
      <c r="A2293">
        <v>21800152</v>
      </c>
      <c r="B2293" t="s">
        <v>4</v>
      </c>
      <c r="C2293" t="s">
        <v>19</v>
      </c>
      <c r="D2293">
        <v>37</v>
      </c>
      <c r="E2293">
        <v>33</v>
      </c>
      <c r="F2293">
        <v>4</v>
      </c>
      <c r="G2293">
        <v>2</v>
      </c>
      <c r="H2293" s="1">
        <v>7.1990740740740739E-3</v>
      </c>
      <c r="I2293">
        <v>2018</v>
      </c>
      <c r="J2293" t="s">
        <v>12</v>
      </c>
      <c r="K2293" s="2" t="str">
        <f>HYPERLINK("https://www.nba.com/stats/events?CFID=&amp;CFPARAMS=&amp;GameEventID=181&amp;GameID=0021800152&amp;Season=2018-19&amp;flag=1&amp;title=Stauskas%2020'%20Pullup%20Jump%20Shot%20(2%20PTS)%20(Leonard%202%20AST)", "Stauskas 20' Pullup Jump Shot (2 PTS) (Leonard 2 AST)")</f>
        <v>Stauskas 20' Pullup Jump Shot (2 PTS) (Leonard 2 AST)</v>
      </c>
      <c r="L2293" s="2" t="str">
        <f>HYPERLINK("https://www.nba.com/game/...-vs-...-0021800152/play-by-play?watchFullGame=true", "POR vs MIL - Q2 10:22.00")</f>
        <v>POR vs MIL - Q2 10:22.00</v>
      </c>
      <c r="M2293">
        <v>20</v>
      </c>
      <c r="N2293">
        <v>105</v>
      </c>
      <c r="O2293">
        <v>169</v>
      </c>
      <c r="P2293">
        <v>105</v>
      </c>
      <c r="Q2293">
        <v>169</v>
      </c>
      <c r="R2293" t="s">
        <v>0</v>
      </c>
      <c r="S2293" t="s">
        <v>0</v>
      </c>
      <c r="T2293" t="s">
        <v>0</v>
      </c>
    </row>
    <row r="2294" spans="1:20" x14ac:dyDescent="0.25">
      <c r="A2294">
        <v>21800293</v>
      </c>
      <c r="B2294" t="s">
        <v>10</v>
      </c>
      <c r="C2294" t="s">
        <v>19</v>
      </c>
      <c r="D2294">
        <v>100</v>
      </c>
      <c r="E2294">
        <v>100</v>
      </c>
      <c r="F2294">
        <v>0</v>
      </c>
      <c r="G2294">
        <v>4</v>
      </c>
      <c r="H2294" s="1">
        <v>1.3078703703703703E-3</v>
      </c>
      <c r="I2294">
        <v>2018</v>
      </c>
      <c r="J2294" t="s">
        <v>12</v>
      </c>
      <c r="K2294" s="2" t="str">
        <f>HYPERLINK("https://www.nba.com/stats/events?CFID=&amp;CFPARAMS=&amp;GameEventID=593&amp;GameID=0021800293&amp;Season=2018-19&amp;flag=1&amp;title=Lillard%2025'%203PT%20Pullup%20Jump%20Shot%20(30%20PTS)%20(Leonard%203%20AST)", "Lillard 25' 3PT Pullup Jump Shot (30 PTS) (Leonard 3 AST)")</f>
        <v>Lillard 25' 3PT Pullup Jump Shot (30 PTS) (Leonard 3 AST)</v>
      </c>
      <c r="L2294" s="2" t="str">
        <f>HYPERLINK("https://www.nba.com/game/...-vs-...-0021800293/play-by-play?watchFullGame=true", "POR vs LAC - Q4 01:53.00")</f>
        <v>POR vs LAC - Q4 01:53.00</v>
      </c>
      <c r="M2294">
        <v>25</v>
      </c>
      <c r="N2294">
        <v>-185</v>
      </c>
      <c r="O2294">
        <v>161</v>
      </c>
      <c r="P2294">
        <v>-185</v>
      </c>
      <c r="Q2294">
        <v>161</v>
      </c>
      <c r="R2294" t="s">
        <v>0</v>
      </c>
      <c r="S2294" t="s">
        <v>0</v>
      </c>
      <c r="T2294" t="s">
        <v>0</v>
      </c>
    </row>
    <row r="2295" spans="1:20" x14ac:dyDescent="0.25">
      <c r="A2295">
        <v>21800329</v>
      </c>
      <c r="B2295" t="s">
        <v>4</v>
      </c>
      <c r="C2295" t="s">
        <v>37</v>
      </c>
      <c r="D2295">
        <v>112</v>
      </c>
      <c r="E2295">
        <v>113</v>
      </c>
      <c r="F2295">
        <v>1</v>
      </c>
      <c r="G2295">
        <v>4</v>
      </c>
      <c r="H2295" s="1">
        <v>1.1805555555555555E-4</v>
      </c>
      <c r="I2295">
        <v>2018</v>
      </c>
      <c r="J2295" t="s">
        <v>12</v>
      </c>
      <c r="K2295" s="2" t="str">
        <f>HYPERLINK("https://www.nba.com/stats/events?CFID=&amp;CFPARAMS=&amp;GameEventID=649&amp;GameID=0021800329&amp;Season=2018-19&amp;flag=1&amp;title=McCollum%20Driving%20Dunk%20(33%20PTS)%20(Leonard%203%20AST)", "McCollum Driving Dunk (33 PTS) (Leonard 3 AST)")</f>
        <v>McCollum Driving Dunk (33 PTS) (Leonard 3 AST)</v>
      </c>
      <c r="L2295" s="2" t="str">
        <f>HYPERLINK("https://www.nba.com/game/...-vs-...-0021800329/play-by-play?watchFullGame=true", "POR vs DEN - Q4 00:10.20")</f>
        <v>POR vs DEN - Q4 00:10.20</v>
      </c>
      <c r="M2295">
        <v>0</v>
      </c>
      <c r="N2295">
        <v>-2</v>
      </c>
      <c r="O2295">
        <v>-1</v>
      </c>
      <c r="P2295">
        <v>-2</v>
      </c>
      <c r="Q2295">
        <v>-1</v>
      </c>
      <c r="R2295" t="s">
        <v>0</v>
      </c>
      <c r="S2295" t="s">
        <v>0</v>
      </c>
      <c r="T2295" t="s">
        <v>0</v>
      </c>
    </row>
    <row r="2296" spans="1:20" x14ac:dyDescent="0.25">
      <c r="A2296">
        <v>21800410</v>
      </c>
      <c r="B2296" t="s">
        <v>4</v>
      </c>
      <c r="C2296" t="s">
        <v>33</v>
      </c>
      <c r="D2296">
        <v>40</v>
      </c>
      <c r="E2296">
        <v>42</v>
      </c>
      <c r="F2296">
        <v>2</v>
      </c>
      <c r="G2296">
        <v>2</v>
      </c>
      <c r="H2296" s="1">
        <v>0</v>
      </c>
      <c r="I2296">
        <v>2018</v>
      </c>
      <c r="J2296" t="s">
        <v>12</v>
      </c>
      <c r="K2296" s="2" t="str">
        <f>HYPERLINK("https://www.nba.com/stats/events?CFID=&amp;CFPARAMS=&amp;GameEventID=341&amp;GameID=0021800410&amp;Season=2018-19&amp;flag=1&amp;title=McCollum%2012'%20Driving%20Floating%20Bank%20Jump%20Shot%20(20%20PTS)%20(Leonard%203%20AST)", "McCollum 12' Driving Floating Bank Jump Shot (20 PTS) (Leonard 3 AST)")</f>
        <v>McCollum 12' Driving Floating Bank Jump Shot (20 PTS) (Leonard 3 AST)</v>
      </c>
      <c r="L2296" s="2" t="str">
        <f>HYPERLINK("https://www.nba.com/game/...-vs-...-0021800410/play-by-play?watchFullGame=true", "POR vs MEM - Q2 00:00.00")</f>
        <v>POR vs MEM - Q2 00:00.00</v>
      </c>
      <c r="M2296">
        <v>12</v>
      </c>
      <c r="N2296">
        <v>-112</v>
      </c>
      <c r="O2296">
        <v>53</v>
      </c>
      <c r="P2296">
        <v>-112</v>
      </c>
      <c r="Q2296">
        <v>53</v>
      </c>
      <c r="R2296" t="s">
        <v>0</v>
      </c>
      <c r="S2296" t="s">
        <v>0</v>
      </c>
      <c r="T2296" t="s">
        <v>0</v>
      </c>
    </row>
    <row r="2297" spans="1:20" x14ac:dyDescent="0.25">
      <c r="A2297">
        <v>21800575</v>
      </c>
      <c r="B2297" t="s">
        <v>4</v>
      </c>
      <c r="C2297" t="s">
        <v>30</v>
      </c>
      <c r="D2297">
        <v>82</v>
      </c>
      <c r="E2297">
        <v>78</v>
      </c>
      <c r="F2297">
        <v>4</v>
      </c>
      <c r="G2297">
        <v>3</v>
      </c>
      <c r="H2297" s="1">
        <v>2.2800925925925927E-3</v>
      </c>
      <c r="I2297">
        <v>2018</v>
      </c>
      <c r="J2297" t="s">
        <v>12</v>
      </c>
      <c r="K2297" s="2" t="str">
        <f>HYPERLINK("https://www.nba.com/stats/events?CFID=&amp;CFPARAMS=&amp;GameEventID=438&amp;GameID=0021800575&amp;Season=2018-19&amp;flag=1&amp;title=Turner%209'%20Turnaround%20Fadeaway%20(4%20PTS)%20(Leonard%202%20AST)", "Turner 9' Turnaround Fadeaway (4 PTS) (Leonard 2 AST)")</f>
        <v>Turner 9' Turnaround Fadeaway (4 PTS) (Leonard 2 AST)</v>
      </c>
      <c r="L2297" s="2" t="str">
        <f>HYPERLINK("https://www.nba.com/game/...-vs-...-0021800575/play-by-play?watchFullGame=true", "POR vs OKC - Q3 03:17.00")</f>
        <v>POR vs OKC - Q3 03:17.00</v>
      </c>
      <c r="M2297">
        <v>9</v>
      </c>
      <c r="N2297">
        <v>79</v>
      </c>
      <c r="O2297">
        <v>38</v>
      </c>
      <c r="P2297">
        <v>79</v>
      </c>
      <c r="Q2297">
        <v>38</v>
      </c>
      <c r="R2297" t="s">
        <v>0</v>
      </c>
      <c r="S2297" t="s">
        <v>0</v>
      </c>
      <c r="T2297" t="s">
        <v>0</v>
      </c>
    </row>
    <row r="2298" spans="1:20" x14ac:dyDescent="0.25">
      <c r="A2298">
        <v>21800624</v>
      </c>
      <c r="B2298" t="s">
        <v>10</v>
      </c>
      <c r="C2298" t="s">
        <v>3</v>
      </c>
      <c r="D2298">
        <v>59</v>
      </c>
      <c r="E2298">
        <v>52</v>
      </c>
      <c r="F2298">
        <v>7</v>
      </c>
      <c r="G2298">
        <v>2</v>
      </c>
      <c r="H2298" s="1">
        <v>1.0069444444444444E-3</v>
      </c>
      <c r="I2298">
        <v>2018</v>
      </c>
      <c r="J2298" t="s">
        <v>1</v>
      </c>
      <c r="K2298" s="2" t="str">
        <f>HYPERLINK("https://www.nba.com/stats/events?CFID=&amp;CFPARAMS=&amp;GameEventID=303&amp;GameID=0021800624&amp;Season=2018-19&amp;flag=1&amp;title=Green%2025'%203PT%20Running%20Jump%20Shot%20(5%20PTS)%20(Leonard%202%20AST)", "Green 25' 3PT Running Jump Shot (5 PTS) (Leonard 2 AST)")</f>
        <v>Green 25' 3PT Running Jump Shot (5 PTS) (Leonard 2 AST)</v>
      </c>
      <c r="L2298" s="2" t="str">
        <f>HYPERLINK("https://www.nba.com/game/...-vs-...-0021800624/play-by-play?watchFullGame=true", "TOR vs BKN - Q2 01:27.00")</f>
        <v>TOR vs BKN - Q2 01:27.00</v>
      </c>
      <c r="M2298">
        <v>25</v>
      </c>
      <c r="N2298">
        <v>-129</v>
      </c>
      <c r="O2298">
        <v>215</v>
      </c>
      <c r="P2298">
        <v>-129</v>
      </c>
      <c r="Q2298">
        <v>215</v>
      </c>
      <c r="R2298" t="s">
        <v>0</v>
      </c>
      <c r="S2298" t="s">
        <v>0</v>
      </c>
      <c r="T2298" t="s">
        <v>0</v>
      </c>
    </row>
    <row r="2299" spans="1:20" x14ac:dyDescent="0.25">
      <c r="A2299">
        <v>41300312</v>
      </c>
      <c r="B2299" t="s">
        <v>4</v>
      </c>
      <c r="C2299" t="s">
        <v>5</v>
      </c>
      <c r="D2299">
        <v>11</v>
      </c>
      <c r="E2299">
        <v>7</v>
      </c>
      <c r="F2299">
        <v>4</v>
      </c>
      <c r="G2299">
        <v>1</v>
      </c>
      <c r="H2299" s="1">
        <v>4.8726851851851848E-3</v>
      </c>
      <c r="I2299" t="s">
        <v>15</v>
      </c>
      <c r="J2299" t="s">
        <v>7</v>
      </c>
      <c r="K2299" s="2" t="str">
        <f>HYPERLINK("https://www.nba.com/stats/events?CFID=&amp;CFPARAMS=&amp;GameEventID=46&amp;GameID=0041300312&amp;Season=2013-14&amp;flag=1&amp;title=Parker%201'%20Layup%20(4%20PTS)%20(Leonard%203%20AST)", "Parker 1' Layup (4 PTS) (Leonard 3 AST)")</f>
        <v>Parker 1' Layup (4 PTS) (Leonard 3 AST)</v>
      </c>
      <c r="L2299" s="2" t="str">
        <f>HYPERLINK("https://www.nba.com/game/...-vs-...-0041300312/play-by-play?watchFullGame=true", "SAS vs OKC - Q1 07:01.00")</f>
        <v>SAS vs OKC - Q1 07:01.00</v>
      </c>
      <c r="M2299">
        <v>1</v>
      </c>
      <c r="N2299">
        <v>-8</v>
      </c>
      <c r="O2299">
        <v>6</v>
      </c>
      <c r="P2299">
        <v>-8</v>
      </c>
      <c r="Q2299">
        <v>6</v>
      </c>
      <c r="R2299" t="s">
        <v>0</v>
      </c>
      <c r="S2299" t="s">
        <v>0</v>
      </c>
      <c r="T2299" t="s">
        <v>0</v>
      </c>
    </row>
    <row r="2300" spans="1:20" x14ac:dyDescent="0.25">
      <c r="A2300">
        <v>41300404</v>
      </c>
      <c r="B2300" t="s">
        <v>4</v>
      </c>
      <c r="C2300" t="s">
        <v>5</v>
      </c>
      <c r="D2300">
        <v>26</v>
      </c>
      <c r="E2300">
        <v>17</v>
      </c>
      <c r="F2300">
        <v>9</v>
      </c>
      <c r="G2300">
        <v>1</v>
      </c>
      <c r="H2300" s="1">
        <v>2.152777777777778E-4</v>
      </c>
      <c r="I2300" t="s">
        <v>15</v>
      </c>
      <c r="J2300" t="s">
        <v>7</v>
      </c>
      <c r="K2300" s="2" t="str">
        <f>HYPERLINK("https://www.nba.com/stats/events?CFID=&amp;CFPARAMS=&amp;GameEventID=113&amp;GameID=0041300404&amp;Season=2013-14&amp;flag=1&amp;title=Mills%201'%20Layup%20(5%20PTS)%20(Leonard%203%20AST)", "Mills 1' Layup (5 PTS) (Leonard 3 AST)")</f>
        <v>Mills 1' Layup (5 PTS) (Leonard 3 AST)</v>
      </c>
      <c r="L2300" s="2" t="str">
        <f>HYPERLINK("https://www.nba.com/game/...-vs-...-0041300404/play-by-play?watchFullGame=true", "SAS vs MIA - Q1 00:18.60")</f>
        <v>SAS vs MIA - Q1 00:18.60</v>
      </c>
      <c r="M2300">
        <v>1</v>
      </c>
      <c r="N2300">
        <v>-4</v>
      </c>
      <c r="O2300">
        <v>6</v>
      </c>
      <c r="P2300">
        <v>-4</v>
      </c>
      <c r="Q2300">
        <v>6</v>
      </c>
      <c r="R2300" t="s">
        <v>0</v>
      </c>
      <c r="S2300" t="s">
        <v>0</v>
      </c>
      <c r="T2300" t="s">
        <v>0</v>
      </c>
    </row>
    <row r="2301" spans="1:20" x14ac:dyDescent="0.25">
      <c r="A2301">
        <v>41400165</v>
      </c>
      <c r="B2301" t="s">
        <v>4</v>
      </c>
      <c r="C2301" t="s">
        <v>9</v>
      </c>
      <c r="D2301">
        <v>39</v>
      </c>
      <c r="E2301">
        <v>42</v>
      </c>
      <c r="F2301">
        <v>3</v>
      </c>
      <c r="G2301">
        <v>2</v>
      </c>
      <c r="H2301" s="1">
        <v>3.8310185185185183E-3</v>
      </c>
      <c r="I2301" t="s">
        <v>13</v>
      </c>
      <c r="J2301" t="s">
        <v>7</v>
      </c>
      <c r="K2301" s="2" t="str">
        <f>HYPERLINK("https://www.nba.com/stats/events?CFID=&amp;CFPARAMS=&amp;GameEventID=214&amp;GameID=0041400165&amp;Season=2014-15&amp;flag=1&amp;title=Green%2019'%20Jump%20Shot%20(2%20PTS)%20(Leonard%201%20AST)", "Green 19' Jump Shot (2 PTS) (Leonard 1 AST)")</f>
        <v>Green 19' Jump Shot (2 PTS) (Leonard 1 AST)</v>
      </c>
      <c r="L2301" s="2" t="str">
        <f>HYPERLINK("https://www.nba.com/game/...-vs-...-0041400165/play-by-play?watchFullGame=true", "SAS vs LAC - Q2 05:31.00")</f>
        <v>SAS vs LAC - Q2 05:31.00</v>
      </c>
      <c r="M2301">
        <v>19</v>
      </c>
      <c r="N2301">
        <v>181</v>
      </c>
      <c r="O2301">
        <v>53</v>
      </c>
      <c r="P2301">
        <v>181</v>
      </c>
      <c r="Q2301">
        <v>53</v>
      </c>
      <c r="R2301" t="s">
        <v>0</v>
      </c>
      <c r="S2301" t="s">
        <v>0</v>
      </c>
      <c r="T2301" t="s">
        <v>0</v>
      </c>
    </row>
    <row r="2302" spans="1:20" x14ac:dyDescent="0.25">
      <c r="A2302">
        <v>41500231</v>
      </c>
      <c r="B2302" t="s">
        <v>4</v>
      </c>
      <c r="C2302" t="s">
        <v>9</v>
      </c>
      <c r="D2302">
        <v>79</v>
      </c>
      <c r="E2302">
        <v>48</v>
      </c>
      <c r="F2302">
        <v>31</v>
      </c>
      <c r="G2302">
        <v>3</v>
      </c>
      <c r="H2302" s="1">
        <v>6.6203703703703702E-3</v>
      </c>
      <c r="I2302" t="s">
        <v>11</v>
      </c>
      <c r="J2302" t="s">
        <v>7</v>
      </c>
      <c r="K2302" s="2" t="str">
        <f>HYPERLINK("https://www.nba.com/stats/events?CFID=&amp;CFPARAMS=&amp;GameEventID=257&amp;GameID=0041500231&amp;Season=2015-16&amp;flag=1&amp;title=Aldridge%2018'%20Jump%20Shot%20(29%20PTS)%20(Leonard%204%20AST)", "Aldridge 18' Jump Shot (29 PTS) (Leonard 4 AST)")</f>
        <v>Aldridge 18' Jump Shot (29 PTS) (Leonard 4 AST)</v>
      </c>
      <c r="L2302" s="2" t="str">
        <f>HYPERLINK("https://www.nba.com/game/...-vs-...-0041500231/play-by-play?watchFullGame=true", "SAS vs OKC - Q3 09:32.00")</f>
        <v>SAS vs OKC - Q3 09:32.00</v>
      </c>
      <c r="M2302">
        <v>18</v>
      </c>
      <c r="N2302">
        <v>-65</v>
      </c>
      <c r="O2302">
        <v>169</v>
      </c>
      <c r="P2302">
        <v>-65</v>
      </c>
      <c r="Q2302">
        <v>169</v>
      </c>
      <c r="R2302" t="s">
        <v>0</v>
      </c>
      <c r="S2302" t="s">
        <v>0</v>
      </c>
      <c r="T2302" t="s">
        <v>0</v>
      </c>
    </row>
    <row r="2303" spans="1:20" x14ac:dyDescent="0.25">
      <c r="A2303">
        <v>41600232</v>
      </c>
      <c r="B2303" t="s">
        <v>4</v>
      </c>
      <c r="C2303" t="s">
        <v>19</v>
      </c>
      <c r="D2303">
        <v>25</v>
      </c>
      <c r="E2303">
        <v>16</v>
      </c>
      <c r="F2303">
        <v>9</v>
      </c>
      <c r="G2303">
        <v>1</v>
      </c>
      <c r="H2303" s="1">
        <v>2.9513888888888888E-3</v>
      </c>
      <c r="I2303" t="s">
        <v>8</v>
      </c>
      <c r="J2303" t="s">
        <v>7</v>
      </c>
      <c r="K2303" s="2" t="str">
        <f>HYPERLINK("https://www.nba.com/stats/events?CFID=&amp;CFPARAMS=&amp;GameEventID=60&amp;GameID=0041600232&amp;Season=2016-17&amp;flag=1&amp;title=Green%2016'%20Pullup%20Jump%20Shot%20(9%20PTS)%20(Leonard%202%20AST)", "Green 16' Pullup Jump Shot (9 PTS) (Leonard 2 AST)")</f>
        <v>Green 16' Pullup Jump Shot (9 PTS) (Leonard 2 AST)</v>
      </c>
      <c r="L2303" s="2" t="str">
        <f>HYPERLINK("https://www.nba.com/game/...-vs-...-0041600232/play-by-play?watchFullGame=true", "SAS vs HOU - Q1 04:15.00")</f>
        <v>SAS vs HOU - Q1 04:15.00</v>
      </c>
      <c r="M2303">
        <v>16</v>
      </c>
      <c r="N2303">
        <v>60</v>
      </c>
      <c r="O2303">
        <v>149</v>
      </c>
      <c r="P2303">
        <v>60</v>
      </c>
      <c r="Q2303">
        <v>149</v>
      </c>
      <c r="R2303" t="s">
        <v>0</v>
      </c>
      <c r="S2303" t="s">
        <v>0</v>
      </c>
      <c r="T2303" t="s">
        <v>0</v>
      </c>
    </row>
    <row r="2304" spans="1:20" x14ac:dyDescent="0.25">
      <c r="A2304">
        <v>41400165</v>
      </c>
      <c r="B2304" t="s">
        <v>10</v>
      </c>
      <c r="C2304" t="s">
        <v>9</v>
      </c>
      <c r="D2304">
        <v>46</v>
      </c>
      <c r="E2304">
        <v>43</v>
      </c>
      <c r="F2304">
        <v>3</v>
      </c>
      <c r="G2304">
        <v>2</v>
      </c>
      <c r="H2304" s="1">
        <v>2.8009259259259259E-3</v>
      </c>
      <c r="I2304" t="s">
        <v>13</v>
      </c>
      <c r="J2304" t="s">
        <v>7</v>
      </c>
      <c r="K2304" s="2" t="str">
        <f>HYPERLINK("https://www.nba.com/stats/events?CFID=&amp;CFPARAMS=&amp;GameEventID=237&amp;GameID=0041400165&amp;Season=2014-15&amp;flag=1&amp;title=Bonner%2025'%203PT%20Jump%20Shot%20(3%20PTS)%20(Leonard%202%20AST)", "Bonner 25' 3PT Jump Shot (3 PTS) (Leonard 2 AST)")</f>
        <v>Bonner 25' 3PT Jump Shot (3 PTS) (Leonard 2 AST)</v>
      </c>
      <c r="L2304" s="2" t="str">
        <f>HYPERLINK("https://www.nba.com/game/...-vs-...-0041400165/play-by-play?watchFullGame=true", "SAS vs LAC - Q2 04:02.00")</f>
        <v>SAS vs LAC - Q2 04:02.00</v>
      </c>
      <c r="M2304">
        <v>25</v>
      </c>
      <c r="N2304">
        <v>140</v>
      </c>
      <c r="O2304">
        <v>209</v>
      </c>
      <c r="P2304">
        <v>140</v>
      </c>
      <c r="Q2304">
        <v>209</v>
      </c>
      <c r="R2304" t="s">
        <v>0</v>
      </c>
      <c r="S2304" t="s">
        <v>0</v>
      </c>
      <c r="T2304" t="s">
        <v>0</v>
      </c>
    </row>
    <row r="2305" spans="1:20" x14ac:dyDescent="0.25">
      <c r="A2305">
        <v>41500233</v>
      </c>
      <c r="B2305" t="s">
        <v>10</v>
      </c>
      <c r="C2305" t="s">
        <v>9</v>
      </c>
      <c r="D2305">
        <v>61</v>
      </c>
      <c r="E2305">
        <v>56</v>
      </c>
      <c r="F2305">
        <v>5</v>
      </c>
      <c r="G2305">
        <v>3</v>
      </c>
      <c r="H2305" s="1">
        <v>3.6226851851851854E-3</v>
      </c>
      <c r="I2305" t="s">
        <v>11</v>
      </c>
      <c r="J2305" t="s">
        <v>7</v>
      </c>
      <c r="K2305" s="2" t="str">
        <f>HYPERLINK("https://www.nba.com/stats/events?CFID=&amp;CFPARAMS=&amp;GameEventID=324&amp;GameID=0041500233&amp;Season=2015-16&amp;flag=1&amp;title=Parker%20%203PT%20Jump%20Shot%20(8%20PTS)%20(Leonard%202%20AST)", "Parker  3PT Jump Shot (8 PTS) (Leonard 2 AST)")</f>
        <v>Parker  3PT Jump Shot (8 PTS) (Leonard 2 AST)</v>
      </c>
      <c r="L2305" s="2" t="str">
        <f>HYPERLINK("https://www.nba.com/game/...-vs-...-0041500233/play-by-play?watchFullGame=true", "SAS vs OKC - Q3 05:13.00")</f>
        <v>SAS vs OKC - Q3 05:13.00</v>
      </c>
      <c r="M2305">
        <v>0</v>
      </c>
      <c r="N2305">
        <v>-228</v>
      </c>
      <c r="O2305">
        <v>21</v>
      </c>
      <c r="P2305">
        <v>-228</v>
      </c>
      <c r="Q2305">
        <v>21</v>
      </c>
      <c r="R2305" t="s">
        <v>0</v>
      </c>
      <c r="S2305" t="s">
        <v>0</v>
      </c>
      <c r="T2305" t="s">
        <v>0</v>
      </c>
    </row>
    <row r="2306" spans="1:20" x14ac:dyDescent="0.25">
      <c r="A2306">
        <v>41500234</v>
      </c>
      <c r="B2306" t="s">
        <v>10</v>
      </c>
      <c r="C2306" t="s">
        <v>9</v>
      </c>
      <c r="D2306">
        <v>81</v>
      </c>
      <c r="E2306">
        <v>77</v>
      </c>
      <c r="F2306">
        <v>4</v>
      </c>
      <c r="G2306">
        <v>3</v>
      </c>
      <c r="H2306" s="1">
        <v>1.3888888888888888E-5</v>
      </c>
      <c r="I2306" t="s">
        <v>11</v>
      </c>
      <c r="J2306" t="s">
        <v>7</v>
      </c>
      <c r="K2306" s="2" t="str">
        <f>HYPERLINK("https://www.nba.com/stats/events?CFID=&amp;CFPARAMS=&amp;GameEventID=388&amp;GameID=0041500234&amp;Season=2015-16&amp;flag=1&amp;title=Diaw%20%203PT%20Jump%20Shot%20(7%20PTS)%20(Leonard%202%20AST)", "Diaw  3PT Jump Shot (7 PTS) (Leonard 2 AST)")</f>
        <v>Diaw  3PT Jump Shot (7 PTS) (Leonard 2 AST)</v>
      </c>
      <c r="L2306" s="2" t="str">
        <f>HYPERLINK("https://www.nba.com/game/...-vs-...-0041500234/play-by-play?watchFullGame=true", "SAS vs OKC - Q3 00:01.20")</f>
        <v>SAS vs OKC - Q3 00:01.20</v>
      </c>
      <c r="M2306">
        <v>0</v>
      </c>
      <c r="N2306">
        <v>223</v>
      </c>
      <c r="O2306">
        <v>2</v>
      </c>
      <c r="P2306">
        <v>223</v>
      </c>
      <c r="Q2306">
        <v>2</v>
      </c>
      <c r="R2306" t="s">
        <v>0</v>
      </c>
      <c r="S2306" t="s">
        <v>0</v>
      </c>
      <c r="T2306" t="s">
        <v>0</v>
      </c>
    </row>
    <row r="2307" spans="1:20" x14ac:dyDescent="0.25">
      <c r="A2307">
        <v>41600151</v>
      </c>
      <c r="B2307" t="s">
        <v>10</v>
      </c>
      <c r="C2307" t="s">
        <v>9</v>
      </c>
      <c r="D2307">
        <v>50</v>
      </c>
      <c r="E2307">
        <v>45</v>
      </c>
      <c r="F2307">
        <v>5</v>
      </c>
      <c r="G2307">
        <v>2</v>
      </c>
      <c r="H2307" s="1">
        <v>1.25E-3</v>
      </c>
      <c r="I2307" t="s">
        <v>8</v>
      </c>
      <c r="J2307" t="s">
        <v>7</v>
      </c>
      <c r="K2307" s="2" t="str">
        <f>HYPERLINK("https://www.nba.com/stats/events?CFID=&amp;CFPARAMS=&amp;GameEventID=203&amp;GameID=0041600151&amp;Season=2016-17&amp;flag=1&amp;title=Gasol%2024'%203PT%20Jump%20Shot%20(6%20PTS)%20(Leonard%204%20AST)", "Gasol 24' 3PT Jump Shot (6 PTS) (Leonard 4 AST)")</f>
        <v>Gasol 24' 3PT Jump Shot (6 PTS) (Leonard 4 AST)</v>
      </c>
      <c r="L2307" s="2" t="str">
        <f>HYPERLINK("https://www.nba.com/game/...-vs-...-0041600151/play-by-play?watchFullGame=true", "SAS vs MEM - Q2 01:48.00")</f>
        <v>SAS vs MEM - Q2 01:48.00</v>
      </c>
      <c r="M2307">
        <v>24</v>
      </c>
      <c r="N2307">
        <v>235</v>
      </c>
      <c r="O2307">
        <v>21</v>
      </c>
      <c r="P2307">
        <v>235</v>
      </c>
      <c r="Q2307">
        <v>21</v>
      </c>
      <c r="R2307" t="s">
        <v>0</v>
      </c>
      <c r="S2307" t="s">
        <v>0</v>
      </c>
      <c r="T2307" t="s">
        <v>0</v>
      </c>
    </row>
    <row r="2308" spans="1:20" x14ac:dyDescent="0.25">
      <c r="A2308">
        <v>41600231</v>
      </c>
      <c r="B2308" t="s">
        <v>4</v>
      </c>
      <c r="C2308" t="s">
        <v>17</v>
      </c>
      <c r="D2308">
        <v>47</v>
      </c>
      <c r="E2308">
        <v>80</v>
      </c>
      <c r="F2308">
        <v>33</v>
      </c>
      <c r="G2308">
        <v>3</v>
      </c>
      <c r="H2308" s="1">
        <v>4.3287037037037035E-3</v>
      </c>
      <c r="I2308" t="s">
        <v>8</v>
      </c>
      <c r="J2308" t="s">
        <v>7</v>
      </c>
      <c r="K2308" s="2" t="str">
        <f>HYPERLINK("https://www.nba.com/stats/events?CFID=&amp;CFPARAMS=&amp;GameEventID=314&amp;GameID=0041600231&amp;Season=2016-17&amp;flag=1&amp;title=Green%205'%20Floating%20Jump%20Shot%20(2%20PTS)%20(Leonard%205%20AST)", "Green 5' Floating Jump Shot (2 PTS) (Leonard 5 AST)")</f>
        <v>Green 5' Floating Jump Shot (2 PTS) (Leonard 5 AST)</v>
      </c>
      <c r="L2308" s="2" t="str">
        <f>HYPERLINK("https://www.nba.com/game/...-vs-...-0041600231/play-by-play?watchFullGame=true", "SAS vs HOU - Q3 06:14.00")</f>
        <v>SAS vs HOU - Q3 06:14.00</v>
      </c>
      <c r="M2308">
        <v>5</v>
      </c>
      <c r="N2308">
        <v>4</v>
      </c>
      <c r="O2308">
        <v>46</v>
      </c>
      <c r="P2308">
        <v>4</v>
      </c>
      <c r="Q2308">
        <v>46</v>
      </c>
      <c r="R2308" t="s">
        <v>0</v>
      </c>
      <c r="S2308" t="s">
        <v>0</v>
      </c>
      <c r="T2308" t="s">
        <v>0</v>
      </c>
    </row>
    <row r="2309" spans="1:20" x14ac:dyDescent="0.25">
      <c r="A2309">
        <v>41600232</v>
      </c>
      <c r="B2309" t="s">
        <v>10</v>
      </c>
      <c r="C2309" t="s">
        <v>9</v>
      </c>
      <c r="D2309">
        <v>46</v>
      </c>
      <c r="E2309">
        <v>39</v>
      </c>
      <c r="F2309">
        <v>7</v>
      </c>
      <c r="G2309">
        <v>2</v>
      </c>
      <c r="H2309" s="1">
        <v>5.6018518518518518E-3</v>
      </c>
      <c r="I2309" t="s">
        <v>8</v>
      </c>
      <c r="J2309" t="s">
        <v>7</v>
      </c>
      <c r="K2309" s="2" t="str">
        <f>HYPERLINK("https://www.nba.com/stats/events?CFID=&amp;CFPARAMS=&amp;GameEventID=131&amp;GameID=0041600232&amp;Season=2016-17&amp;flag=1&amp;title=Mills%2024'%203PT%20Jump%20Shot%20(5%20PTS)%20(Leonard%203%20AST)", "Mills 24' 3PT Jump Shot (5 PTS) (Leonard 3 AST)")</f>
        <v>Mills 24' 3PT Jump Shot (5 PTS) (Leonard 3 AST)</v>
      </c>
      <c r="L2309" s="2" t="str">
        <f>HYPERLINK("https://www.nba.com/game/...-vs-...-0041600232/play-by-play?watchFullGame=true", "SAS vs HOU - Q2 08:04.00")</f>
        <v>SAS vs HOU - Q2 08:04.00</v>
      </c>
      <c r="M2309">
        <v>24</v>
      </c>
      <c r="N2309">
        <v>-238</v>
      </c>
      <c r="O2309">
        <v>-11</v>
      </c>
      <c r="P2309">
        <v>-238</v>
      </c>
      <c r="Q2309">
        <v>-11</v>
      </c>
      <c r="R2309" t="s">
        <v>0</v>
      </c>
      <c r="S2309" t="s">
        <v>0</v>
      </c>
      <c r="T2309" t="s">
        <v>0</v>
      </c>
    </row>
    <row r="2310" spans="1:20" x14ac:dyDescent="0.25">
      <c r="A2310">
        <v>41600232</v>
      </c>
      <c r="B2310" t="s">
        <v>10</v>
      </c>
      <c r="C2310" t="s">
        <v>9</v>
      </c>
      <c r="D2310">
        <v>61</v>
      </c>
      <c r="E2310">
        <v>48</v>
      </c>
      <c r="F2310">
        <v>13</v>
      </c>
      <c r="G2310">
        <v>2</v>
      </c>
      <c r="H2310" s="1">
        <v>1.724537037037037E-3</v>
      </c>
      <c r="I2310" t="s">
        <v>8</v>
      </c>
      <c r="J2310" t="s">
        <v>7</v>
      </c>
      <c r="K2310" s="2" t="str">
        <f>HYPERLINK("https://www.nba.com/stats/events?CFID=&amp;CFPARAMS=&amp;GameEventID=190&amp;GameID=0041600232&amp;Season=2016-17&amp;flag=1&amp;title=Parker%2024'%203PT%20Jump%20Shot%20(9%20PTS)%20(Leonard%205%20AST)", "Parker 24' 3PT Jump Shot (9 PTS) (Leonard 5 AST)")</f>
        <v>Parker 24' 3PT Jump Shot (9 PTS) (Leonard 5 AST)</v>
      </c>
      <c r="L2310" s="2" t="str">
        <f>HYPERLINK("https://www.nba.com/game/...-vs-...-0041600232/play-by-play?watchFullGame=true", "SAS vs HOU - Q2 02:29.00")</f>
        <v>SAS vs HOU - Q2 02:29.00</v>
      </c>
      <c r="M2310">
        <v>24</v>
      </c>
      <c r="N2310">
        <v>-238</v>
      </c>
      <c r="O2310">
        <v>2</v>
      </c>
      <c r="P2310">
        <v>-238</v>
      </c>
      <c r="Q2310">
        <v>2</v>
      </c>
      <c r="R2310" t="s">
        <v>0</v>
      </c>
      <c r="S2310" t="s">
        <v>0</v>
      </c>
      <c r="T2310" t="s">
        <v>0</v>
      </c>
    </row>
    <row r="2311" spans="1:20" x14ac:dyDescent="0.25">
      <c r="A2311">
        <v>41800112</v>
      </c>
      <c r="B2311" t="s">
        <v>4</v>
      </c>
      <c r="C2311" t="s">
        <v>46</v>
      </c>
      <c r="D2311">
        <v>24</v>
      </c>
      <c r="E2311">
        <v>13</v>
      </c>
      <c r="F2311">
        <v>11</v>
      </c>
      <c r="G2311">
        <v>1</v>
      </c>
      <c r="H2311" s="1">
        <v>1.6898148148148148E-3</v>
      </c>
      <c r="I2311" t="s">
        <v>2</v>
      </c>
      <c r="J2311" t="s">
        <v>1</v>
      </c>
      <c r="K2311" s="2" t="str">
        <f>HYPERLINK("https://www.nba.com/stats/events?CFID=&amp;CFPARAMS=&amp;GameEventID=121&amp;GameID=0041800112&amp;Season=2018-19&amp;flag=1&amp;title=Ibaka%205'%20Turnaround%20Hook%20Shot%20(4%20PTS)%20(Leonard%203%20AST)", "Ibaka 5' Turnaround Hook Shot (4 PTS) (Leonard 3 AST)")</f>
        <v>Ibaka 5' Turnaround Hook Shot (4 PTS) (Leonard 3 AST)</v>
      </c>
      <c r="L2311" s="2" t="str">
        <f>HYPERLINK("https://www.nba.com/game/...-vs-...-0041800112/play-by-play?watchFullGame=true", "TOR vs ORL - Q1 02:26.00")</f>
        <v>TOR vs ORL - Q1 02:26.00</v>
      </c>
      <c r="M2311">
        <v>5</v>
      </c>
      <c r="N2311">
        <v>-1</v>
      </c>
      <c r="O2311">
        <v>48</v>
      </c>
      <c r="P2311">
        <v>-1</v>
      </c>
      <c r="Q2311">
        <v>48</v>
      </c>
      <c r="R2311" t="s">
        <v>0</v>
      </c>
      <c r="S2311" t="s">
        <v>0</v>
      </c>
      <c r="T2311" t="s">
        <v>0</v>
      </c>
    </row>
    <row r="2312" spans="1:20" x14ac:dyDescent="0.25">
      <c r="A2312">
        <v>41300405</v>
      </c>
      <c r="B2312" t="s">
        <v>10</v>
      </c>
      <c r="C2312" t="s">
        <v>9</v>
      </c>
      <c r="D2312">
        <v>65</v>
      </c>
      <c r="E2312">
        <v>44</v>
      </c>
      <c r="F2312">
        <v>21</v>
      </c>
      <c r="G2312">
        <v>3</v>
      </c>
      <c r="H2312" s="1">
        <v>3.4837962962962965E-3</v>
      </c>
      <c r="I2312" t="s">
        <v>15</v>
      </c>
      <c r="J2312" t="s">
        <v>7</v>
      </c>
      <c r="K2312" s="2" t="str">
        <f>HYPERLINK("https://www.nba.com/stats/events?CFID=&amp;CFPARAMS=&amp;GameEventID=320&amp;GameID=0041300405&amp;Season=2013-14&amp;flag=1&amp;title=Ginobili%2026'%203PT%20Jump%20Shot%20(19%20PTS)%20(Leonard%202%20AST)", "Ginobili 26' 3PT Jump Shot (19 PTS) (Leonard 2 AST)")</f>
        <v>Ginobili 26' 3PT Jump Shot (19 PTS) (Leonard 2 AST)</v>
      </c>
      <c r="L2312" s="2" t="str">
        <f>HYPERLINK("https://www.nba.com/game/...-vs-...-0041300405/play-by-play?watchFullGame=true", "SAS vs MIA - Q3 05:01.00")</f>
        <v>SAS vs MIA - Q3 05:01.00</v>
      </c>
      <c r="M2312">
        <v>26</v>
      </c>
      <c r="N2312">
        <v>-209</v>
      </c>
      <c r="O2312">
        <v>162</v>
      </c>
      <c r="P2312">
        <v>-209</v>
      </c>
      <c r="Q2312">
        <v>162</v>
      </c>
      <c r="R2312" t="s">
        <v>0</v>
      </c>
      <c r="S2312" t="s">
        <v>0</v>
      </c>
      <c r="T2312" t="s">
        <v>0</v>
      </c>
    </row>
    <row r="2313" spans="1:20" x14ac:dyDescent="0.25">
      <c r="A2313">
        <v>41400161</v>
      </c>
      <c r="B2313" t="s">
        <v>10</v>
      </c>
      <c r="C2313" t="s">
        <v>9</v>
      </c>
      <c r="D2313">
        <v>67</v>
      </c>
      <c r="E2313">
        <v>81</v>
      </c>
      <c r="F2313">
        <v>14</v>
      </c>
      <c r="G2313">
        <v>4</v>
      </c>
      <c r="H2313" s="1">
        <v>7.789351851851852E-3</v>
      </c>
      <c r="I2313" t="s">
        <v>13</v>
      </c>
      <c r="J2313" t="s">
        <v>7</v>
      </c>
      <c r="K2313" s="2" t="str">
        <f>HYPERLINK("https://www.nba.com/stats/events?CFID=&amp;CFPARAMS=&amp;GameEventID=481&amp;GameID=0041400161&amp;Season=2014-15&amp;flag=1&amp;title=Mills%2024'%203PT%20Jump%20Shot%20(6%20PTS)%20(Leonard%203%20AST)", "Mills 24' 3PT Jump Shot (6 PTS) (Leonard 3 AST)")</f>
        <v>Mills 24' 3PT Jump Shot (6 PTS) (Leonard 3 AST)</v>
      </c>
      <c r="L2313" s="2" t="str">
        <f>HYPERLINK("https://www.nba.com/game/...-vs-...-0041400161/play-by-play?watchFullGame=true", "SAS vs LAC - Q4 11:13.00")</f>
        <v>SAS vs LAC - Q4 11:13.00</v>
      </c>
      <c r="M2313">
        <v>24</v>
      </c>
      <c r="N2313">
        <v>241</v>
      </c>
      <c r="O2313">
        <v>23</v>
      </c>
      <c r="P2313">
        <v>241</v>
      </c>
      <c r="Q2313">
        <v>23</v>
      </c>
      <c r="R2313" t="s">
        <v>0</v>
      </c>
      <c r="S2313" t="s">
        <v>0</v>
      </c>
      <c r="T2313" t="s">
        <v>0</v>
      </c>
    </row>
    <row r="2314" spans="1:20" x14ac:dyDescent="0.25">
      <c r="A2314">
        <v>41400164</v>
      </c>
      <c r="B2314" t="s">
        <v>4</v>
      </c>
      <c r="C2314" t="s">
        <v>3</v>
      </c>
      <c r="D2314">
        <v>42</v>
      </c>
      <c r="E2314">
        <v>44</v>
      </c>
      <c r="F2314">
        <v>2</v>
      </c>
      <c r="G2314">
        <v>2</v>
      </c>
      <c r="H2314" s="1">
        <v>1.9212962962962964E-3</v>
      </c>
      <c r="I2314" t="s">
        <v>13</v>
      </c>
      <c r="J2314" t="s">
        <v>7</v>
      </c>
      <c r="K2314" s="2" t="str">
        <f>HYPERLINK("https://www.nba.com/stats/events?CFID=&amp;CFPARAMS=&amp;GameEventID=215&amp;GameID=0041400164&amp;Season=2014-15&amp;flag=1&amp;title=Ginobili%203'%20Running%20Jump%20Shot%20(8%20PTS)%20(Leonard%204%20AST)", "Ginobili 3' Running Jump Shot (8 PTS) (Leonard 4 AST)")</f>
        <v>Ginobili 3' Running Jump Shot (8 PTS) (Leonard 4 AST)</v>
      </c>
      <c r="L2314" s="2" t="str">
        <f>HYPERLINK("https://www.nba.com/game/...-vs-...-0041400164/play-by-play?watchFullGame=true", "SAS vs LAC - Q2 02:46.00")</f>
        <v>SAS vs LAC - Q2 02:46.00</v>
      </c>
      <c r="M2314">
        <v>3</v>
      </c>
      <c r="N2314">
        <v>-19</v>
      </c>
      <c r="O2314">
        <v>28</v>
      </c>
      <c r="P2314">
        <v>-19</v>
      </c>
      <c r="Q2314">
        <v>28</v>
      </c>
      <c r="R2314" t="s">
        <v>0</v>
      </c>
      <c r="S2314" t="s">
        <v>0</v>
      </c>
      <c r="T2314" t="s">
        <v>0</v>
      </c>
    </row>
    <row r="2315" spans="1:20" x14ac:dyDescent="0.25">
      <c r="A2315">
        <v>41500154</v>
      </c>
      <c r="B2315" t="s">
        <v>10</v>
      </c>
      <c r="C2315" t="s">
        <v>9</v>
      </c>
      <c r="D2315">
        <v>74</v>
      </c>
      <c r="E2315">
        <v>57</v>
      </c>
      <c r="F2315">
        <v>17</v>
      </c>
      <c r="G2315">
        <v>3</v>
      </c>
      <c r="H2315" s="1">
        <v>2.4537037037037036E-3</v>
      </c>
      <c r="I2315" t="s">
        <v>11</v>
      </c>
      <c r="J2315" t="s">
        <v>7</v>
      </c>
      <c r="K2315" s="2" t="str">
        <f>HYPERLINK("https://www.nba.com/stats/events?CFID=&amp;CFPARAMS=&amp;GameEventID=368&amp;GameID=0041500154&amp;Season=2015-16&amp;flag=1&amp;title=Mills%2027'%203PT%20Jump%20Shot%20(9%20PTS)%20(Leonard%203%20AST)", "Mills 27' 3PT Jump Shot (9 PTS) (Leonard 3 AST)")</f>
        <v>Mills 27' 3PT Jump Shot (9 PTS) (Leonard 3 AST)</v>
      </c>
      <c r="L2315" s="2" t="str">
        <f>HYPERLINK("https://www.nba.com/game/...-vs-...-0041500154/play-by-play?watchFullGame=true", "SAS vs MEM - Q3 03:32.00")</f>
        <v>SAS vs MEM - Q3 03:32.00</v>
      </c>
      <c r="M2315">
        <v>27</v>
      </c>
      <c r="N2315">
        <v>-133</v>
      </c>
      <c r="O2315">
        <v>234</v>
      </c>
      <c r="P2315">
        <v>-133</v>
      </c>
      <c r="Q2315">
        <v>234</v>
      </c>
      <c r="R2315" t="s">
        <v>0</v>
      </c>
      <c r="S2315" t="s">
        <v>0</v>
      </c>
      <c r="T2315" t="s">
        <v>0</v>
      </c>
    </row>
    <row r="2316" spans="1:20" x14ac:dyDescent="0.25">
      <c r="A2316">
        <v>41500232</v>
      </c>
      <c r="B2316" t="s">
        <v>10</v>
      </c>
      <c r="C2316" t="s">
        <v>9</v>
      </c>
      <c r="D2316">
        <v>27</v>
      </c>
      <c r="E2316">
        <v>29</v>
      </c>
      <c r="F2316">
        <v>2</v>
      </c>
      <c r="G2316">
        <v>2</v>
      </c>
      <c r="H2316" s="1">
        <v>7.1296296296296299E-3</v>
      </c>
      <c r="I2316" t="s">
        <v>11</v>
      </c>
      <c r="J2316" t="s">
        <v>7</v>
      </c>
      <c r="K2316" s="2" t="str">
        <f>HYPERLINK("https://www.nba.com/stats/events?CFID=&amp;CFPARAMS=&amp;GameEventID=154&amp;GameID=0041500232&amp;Season=2015-16&amp;flag=1&amp;title=Green%2025'%203PT%20Jump%20Shot%20(3%20PTS)%20(Leonard%201%20AST)", "Green 25' 3PT Jump Shot (3 PTS) (Leonard 1 AST)")</f>
        <v>Green 25' 3PT Jump Shot (3 PTS) (Leonard 1 AST)</v>
      </c>
      <c r="L2316" s="2" t="str">
        <f>HYPERLINK("https://www.nba.com/game/...-vs-...-0041500232/play-by-play?watchFullGame=true", "SAS vs OKC - Q2 10:16.00")</f>
        <v>SAS vs OKC - Q2 10:16.00</v>
      </c>
      <c r="M2316">
        <v>25</v>
      </c>
      <c r="N2316">
        <v>191</v>
      </c>
      <c r="O2316">
        <v>154</v>
      </c>
      <c r="P2316">
        <v>191</v>
      </c>
      <c r="Q2316">
        <v>154</v>
      </c>
      <c r="R2316" t="s">
        <v>0</v>
      </c>
      <c r="S2316" t="s">
        <v>0</v>
      </c>
      <c r="T2316" t="s">
        <v>0</v>
      </c>
    </row>
    <row r="2317" spans="1:20" x14ac:dyDescent="0.25">
      <c r="A2317">
        <v>41500236</v>
      </c>
      <c r="B2317" t="s">
        <v>4</v>
      </c>
      <c r="C2317" t="s">
        <v>5</v>
      </c>
      <c r="D2317">
        <v>47</v>
      </c>
      <c r="E2317">
        <v>70</v>
      </c>
      <c r="F2317">
        <v>23</v>
      </c>
      <c r="G2317">
        <v>3</v>
      </c>
      <c r="H2317" s="1">
        <v>5.0694444444444441E-3</v>
      </c>
      <c r="I2317" t="s">
        <v>11</v>
      </c>
      <c r="J2317" t="s">
        <v>7</v>
      </c>
      <c r="K2317" s="2" t="str">
        <f>HYPERLINK("https://www.nba.com/stats/events?CFID=&amp;CFPARAMS=&amp;GameEventID=295&amp;GameID=0041500236&amp;Season=2015-16&amp;flag=1&amp;title=Aldridge%201'%20Layup%20(16%20PTS)%20(Leonard%203%20AST)", "Aldridge 1' Layup (16 PTS) (Leonard 3 AST)")</f>
        <v>Aldridge 1' Layup (16 PTS) (Leonard 3 AST)</v>
      </c>
      <c r="L2317" s="2" t="str">
        <f>HYPERLINK("https://www.nba.com/game/...-vs-...-0041500236/play-by-play?watchFullGame=true", "SAS vs OKC - Q3 07:18.00")</f>
        <v>SAS vs OKC - Q3 07:18.00</v>
      </c>
      <c r="M2317">
        <v>1</v>
      </c>
      <c r="N2317">
        <v>-9</v>
      </c>
      <c r="O2317">
        <v>2</v>
      </c>
      <c r="P2317">
        <v>-9</v>
      </c>
      <c r="Q2317">
        <v>2</v>
      </c>
      <c r="R2317" t="s">
        <v>0</v>
      </c>
      <c r="S2317" t="s">
        <v>0</v>
      </c>
      <c r="T2317" t="s">
        <v>0</v>
      </c>
    </row>
    <row r="2318" spans="1:20" x14ac:dyDescent="0.25">
      <c r="A2318">
        <v>41200311</v>
      </c>
      <c r="B2318" t="s">
        <v>4</v>
      </c>
      <c r="C2318" t="s">
        <v>9</v>
      </c>
      <c r="D2318">
        <v>53</v>
      </c>
      <c r="E2318">
        <v>37</v>
      </c>
      <c r="F2318">
        <v>16</v>
      </c>
      <c r="G2318">
        <v>3</v>
      </c>
      <c r="H2318" s="1">
        <v>8.067129629629629E-3</v>
      </c>
      <c r="I2318" t="s">
        <v>27</v>
      </c>
      <c r="J2318" t="s">
        <v>7</v>
      </c>
      <c r="K2318" s="2" t="str">
        <f>HYPERLINK("https://www.nba.com/stats/events?CFID=&amp;CFPARAMS=&amp;GameEventID=214&amp;GameID=0041200311&amp;Season=2012-13&amp;flag=1&amp;title=Parker%2023'%20Jump%20Shot%20(14%20PTS)%20(Leonard%201%20AST)", "Parker 23' Jump Shot (14 PTS) (Leonard 1 AST)")</f>
        <v>Parker 23' Jump Shot (14 PTS) (Leonard 1 AST)</v>
      </c>
      <c r="L2318" s="2" t="str">
        <f>HYPERLINK("https://www.nba.com/game/...-vs-...-0041200311/play-by-play?watchFullGame=true", "SAS vs MEM - Q3 11:37.00")</f>
        <v>SAS vs MEM - Q3 11:37.00</v>
      </c>
      <c r="M2318">
        <v>23</v>
      </c>
      <c r="N2318">
        <v>171</v>
      </c>
      <c r="O2318">
        <v>157</v>
      </c>
      <c r="P2318">
        <v>171</v>
      </c>
      <c r="Q2318">
        <v>157</v>
      </c>
      <c r="R2318" t="s">
        <v>0</v>
      </c>
      <c r="S2318" t="s">
        <v>0</v>
      </c>
      <c r="T2318" t="s">
        <v>0</v>
      </c>
    </row>
    <row r="2319" spans="1:20" x14ac:dyDescent="0.25">
      <c r="A2319">
        <v>41200405</v>
      </c>
      <c r="B2319" t="s">
        <v>4</v>
      </c>
      <c r="C2319" t="s">
        <v>9</v>
      </c>
      <c r="D2319">
        <v>89</v>
      </c>
      <c r="E2319">
        <v>75</v>
      </c>
      <c r="F2319">
        <v>14</v>
      </c>
      <c r="G2319">
        <v>4</v>
      </c>
      <c r="H2319" s="1">
        <v>7.3958333333333333E-3</v>
      </c>
      <c r="I2319" t="s">
        <v>27</v>
      </c>
      <c r="J2319" t="s">
        <v>7</v>
      </c>
      <c r="K2319" s="2" t="str">
        <f>HYPERLINK("https://www.nba.com/stats/events?CFID=&amp;CFPARAMS=&amp;GameEventID=412&amp;GameID=0041200405&amp;Season=2012-13&amp;flag=1&amp;title=Ginobili%206'%20Jump%20Shot%20(22%20PTS)%20(Leonard%201%20AST)", "Ginobili 6' Jump Shot (22 PTS) (Leonard 1 AST)")</f>
        <v>Ginobili 6' Jump Shot (22 PTS) (Leonard 1 AST)</v>
      </c>
      <c r="L2319" s="2" t="str">
        <f>HYPERLINK("https://www.nba.com/game/...-vs-...-0041200405/play-by-play?watchFullGame=true", "SAS vs MIA - Q4 10:39.00")</f>
        <v>SAS vs MIA - Q4 10:39.00</v>
      </c>
      <c r="M2319">
        <v>6</v>
      </c>
      <c r="N2319">
        <v>-13</v>
      </c>
      <c r="O2319">
        <v>60</v>
      </c>
      <c r="P2319">
        <v>-13</v>
      </c>
      <c r="Q2319">
        <v>60</v>
      </c>
      <c r="R2319" t="s">
        <v>0</v>
      </c>
      <c r="S2319" t="s">
        <v>0</v>
      </c>
      <c r="T2319" t="s">
        <v>0</v>
      </c>
    </row>
    <row r="2320" spans="1:20" x14ac:dyDescent="0.25">
      <c r="A2320">
        <v>41300143</v>
      </c>
      <c r="B2320" t="s">
        <v>10</v>
      </c>
      <c r="C2320" t="s">
        <v>9</v>
      </c>
      <c r="D2320">
        <v>59</v>
      </c>
      <c r="E2320">
        <v>63</v>
      </c>
      <c r="F2320">
        <v>4</v>
      </c>
      <c r="G2320">
        <v>3</v>
      </c>
      <c r="H2320" s="1">
        <v>6.5856481481481478E-3</v>
      </c>
      <c r="I2320" t="s">
        <v>15</v>
      </c>
      <c r="J2320" t="s">
        <v>7</v>
      </c>
      <c r="K2320" s="2" t="str">
        <f>HYPERLINK("https://www.nba.com/stats/events?CFID=&amp;CFPARAMS=&amp;GameEventID=237&amp;GameID=0041300143&amp;Season=2013-14&amp;flag=1&amp;title=Green%20%203PT%20Jump%20Shot%20(3%20PTS)%20(Leonard%203%20AST)", "Green  3PT Jump Shot (3 PTS) (Leonard 3 AST)")</f>
        <v>Green  3PT Jump Shot (3 PTS) (Leonard 3 AST)</v>
      </c>
      <c r="L2320" s="2" t="str">
        <f>HYPERLINK("https://www.nba.com/game/...-vs-...-0041300143/play-by-play?watchFullGame=true", "SAS vs DAL - Q3 09:29.00")</f>
        <v>SAS vs DAL - Q3 09:29.00</v>
      </c>
      <c r="M2320">
        <v>0</v>
      </c>
      <c r="N2320">
        <v>233</v>
      </c>
      <c r="O2320">
        <v>11</v>
      </c>
      <c r="P2320">
        <v>233</v>
      </c>
      <c r="Q2320">
        <v>11</v>
      </c>
      <c r="R2320" t="s">
        <v>0</v>
      </c>
      <c r="S2320" t="s">
        <v>0</v>
      </c>
      <c r="T2320" t="s">
        <v>0</v>
      </c>
    </row>
    <row r="2321" spans="1:20" x14ac:dyDescent="0.25">
      <c r="A2321">
        <v>41300224</v>
      </c>
      <c r="B2321" t="s">
        <v>4</v>
      </c>
      <c r="C2321" t="s">
        <v>5</v>
      </c>
      <c r="D2321">
        <v>42</v>
      </c>
      <c r="E2321">
        <v>44</v>
      </c>
      <c r="F2321">
        <v>2</v>
      </c>
      <c r="G2321">
        <v>2</v>
      </c>
      <c r="H2321" s="1">
        <v>2.5462962962962965E-3</v>
      </c>
      <c r="I2321" t="s">
        <v>15</v>
      </c>
      <c r="J2321" t="s">
        <v>7</v>
      </c>
      <c r="K2321" s="2" t="str">
        <f>HYPERLINK("https://www.nba.com/stats/events?CFID=&amp;CFPARAMS=&amp;GameEventID=218&amp;GameID=0041300224&amp;Season=2013-14&amp;flag=1&amp;title=Splitter%202'%20Layup%20(2%20PTS)%20(Leonard%202%20AST)", "Splitter 2' Layup (2 PTS) (Leonard 2 AST)")</f>
        <v>Splitter 2' Layup (2 PTS) (Leonard 2 AST)</v>
      </c>
      <c r="L2321" s="2" t="str">
        <f>HYPERLINK("https://www.nba.com/game/...-vs-...-0041300224/play-by-play?watchFullGame=true", "SAS vs POR - Q2 03:40.00")</f>
        <v>SAS vs POR - Q2 03:40.00</v>
      </c>
      <c r="M2321">
        <v>2</v>
      </c>
      <c r="N2321">
        <v>15</v>
      </c>
      <c r="O2321">
        <v>1</v>
      </c>
      <c r="P2321">
        <v>15</v>
      </c>
      <c r="Q2321">
        <v>1</v>
      </c>
      <c r="R2321" t="s">
        <v>0</v>
      </c>
      <c r="S2321" t="s">
        <v>0</v>
      </c>
      <c r="T2321" t="s">
        <v>0</v>
      </c>
    </row>
    <row r="2322" spans="1:20" x14ac:dyDescent="0.25">
      <c r="A2322">
        <v>41400167</v>
      </c>
      <c r="B2322" t="s">
        <v>4</v>
      </c>
      <c r="C2322" t="s">
        <v>5</v>
      </c>
      <c r="D2322">
        <v>6</v>
      </c>
      <c r="E2322">
        <v>4</v>
      </c>
      <c r="F2322">
        <v>2</v>
      </c>
      <c r="G2322">
        <v>1</v>
      </c>
      <c r="H2322" s="1">
        <v>7.3611111111111108E-3</v>
      </c>
      <c r="I2322" t="s">
        <v>13</v>
      </c>
      <c r="J2322" t="s">
        <v>7</v>
      </c>
      <c r="K2322" s="2" t="str">
        <f>HYPERLINK("https://www.nba.com/stats/events?CFID=&amp;CFPARAMS=&amp;GameEventID=11&amp;GameID=0041400167&amp;Season=2014-15&amp;flag=1&amp;title=Green%202'%20Layup%20(2%20PTS)%20(Leonard%201%20AST)", "Green 2' Layup (2 PTS) (Leonard 1 AST)")</f>
        <v>Green 2' Layup (2 PTS) (Leonard 1 AST)</v>
      </c>
      <c r="L2322" s="2" t="str">
        <f>HYPERLINK("https://www.nba.com/game/...-vs-...-0041400167/play-by-play?watchFullGame=true", "SAS vs LAC - Q1 10:36.00")</f>
        <v>SAS vs LAC - Q1 10:36.00</v>
      </c>
      <c r="M2322">
        <v>2</v>
      </c>
      <c r="N2322">
        <v>-18</v>
      </c>
      <c r="O2322">
        <v>0</v>
      </c>
      <c r="P2322">
        <v>-18</v>
      </c>
      <c r="Q2322">
        <v>0</v>
      </c>
      <c r="R2322" t="s">
        <v>0</v>
      </c>
      <c r="S2322" t="s">
        <v>0</v>
      </c>
      <c r="T2322" t="s">
        <v>0</v>
      </c>
    </row>
    <row r="2323" spans="1:20" x14ac:dyDescent="0.25">
      <c r="A2323">
        <v>41400171</v>
      </c>
      <c r="B2323" t="s">
        <v>10</v>
      </c>
      <c r="C2323" t="s">
        <v>9</v>
      </c>
      <c r="D2323">
        <v>77</v>
      </c>
      <c r="E2323">
        <v>94</v>
      </c>
      <c r="F2323">
        <v>17</v>
      </c>
      <c r="G2323">
        <v>4</v>
      </c>
      <c r="H2323" s="1">
        <v>3.6458333333333334E-3</v>
      </c>
      <c r="I2323" t="s">
        <v>13</v>
      </c>
      <c r="J2323" t="s">
        <v>12</v>
      </c>
      <c r="K2323" s="2" t="str">
        <f>HYPERLINK("https://www.nba.com/stats/events?CFID=&amp;CFPARAMS=&amp;GameEventID=488&amp;GameID=0041400171&amp;Season=2014-15&amp;flag=1&amp;title=Batum%2025'%203PT%20Jump%20Shot%20(15%20PTS)%20(Leonard%201%20AST)", "Batum 25' 3PT Jump Shot (15 PTS) (Leonard 1 AST)")</f>
        <v>Batum 25' 3PT Jump Shot (15 PTS) (Leonard 1 AST)</v>
      </c>
      <c r="L2323" s="2" t="str">
        <f>HYPERLINK("https://www.nba.com/game/...-vs-...-0041400171/play-by-play?watchFullGame=true", "POR vs MEM - Q4 05:15.00")</f>
        <v>POR vs MEM - Q4 05:15.00</v>
      </c>
      <c r="M2323">
        <v>25</v>
      </c>
      <c r="N2323">
        <v>135</v>
      </c>
      <c r="O2323">
        <v>216</v>
      </c>
      <c r="P2323">
        <v>135</v>
      </c>
      <c r="Q2323">
        <v>216</v>
      </c>
      <c r="R2323" t="s">
        <v>0</v>
      </c>
      <c r="S2323" t="s">
        <v>0</v>
      </c>
      <c r="T2323" t="s">
        <v>0</v>
      </c>
    </row>
    <row r="2324" spans="1:20" x14ac:dyDescent="0.25">
      <c r="A2324">
        <v>41800301</v>
      </c>
      <c r="B2324" t="s">
        <v>4</v>
      </c>
      <c r="C2324" t="s">
        <v>5</v>
      </c>
      <c r="D2324">
        <v>65</v>
      </c>
      <c r="E2324">
        <v>62</v>
      </c>
      <c r="F2324">
        <v>3</v>
      </c>
      <c r="G2324">
        <v>3</v>
      </c>
      <c r="H2324" s="1">
        <v>5.6828703703703702E-3</v>
      </c>
      <c r="I2324" t="s">
        <v>2</v>
      </c>
      <c r="J2324" t="s">
        <v>1</v>
      </c>
      <c r="K2324" s="2" t="str">
        <f>HYPERLINK("https://www.nba.com/stats/events?CFID=&amp;CFPARAMS=&amp;GameEventID=371&amp;GameID=0041800301&amp;Season=2018-19&amp;flag=1&amp;title=Lowry%201'%20Layup%20(13%20PTS)%20(Leonard%202%20AST)", "Lowry 1' Layup (13 PTS) (Leonard 2 AST)")</f>
        <v>Lowry 1' Layup (13 PTS) (Leonard 2 AST)</v>
      </c>
      <c r="L2324" s="2" t="str">
        <f>HYPERLINK("https://www.nba.com/game/...-vs-...-0041800301/play-by-play?watchFullGame=true", "TOR vs MIL - Q3 08:11.00")</f>
        <v>TOR vs MIL - Q3 08:11.00</v>
      </c>
      <c r="M2324">
        <v>1</v>
      </c>
      <c r="N2324">
        <v>4</v>
      </c>
      <c r="O2324">
        <v>10</v>
      </c>
      <c r="P2324">
        <v>4</v>
      </c>
      <c r="Q2324">
        <v>10</v>
      </c>
      <c r="R2324" t="s">
        <v>0</v>
      </c>
      <c r="S2324" t="s">
        <v>0</v>
      </c>
      <c r="T2324" t="s">
        <v>0</v>
      </c>
    </row>
    <row r="2325" spans="1:20" x14ac:dyDescent="0.25">
      <c r="A2325">
        <v>41800305</v>
      </c>
      <c r="B2325" t="s">
        <v>10</v>
      </c>
      <c r="C2325" t="s">
        <v>9</v>
      </c>
      <c r="D2325">
        <v>56</v>
      </c>
      <c r="E2325">
        <v>63</v>
      </c>
      <c r="F2325">
        <v>7</v>
      </c>
      <c r="G2325">
        <v>3</v>
      </c>
      <c r="H2325" s="1">
        <v>4.6643518518518518E-3</v>
      </c>
      <c r="I2325" t="s">
        <v>2</v>
      </c>
      <c r="J2325" t="s">
        <v>1</v>
      </c>
      <c r="K2325" s="2" t="str">
        <f>HYPERLINK("https://www.nba.com/stats/events?CFID=&amp;CFPARAMS=&amp;GameEventID=394&amp;GameID=0041800305&amp;Season=2018-19&amp;flag=1&amp;title=VanVleet%2027'%203PT%20Jump%20Shot%20(9%20PTS)%20(Leonard%206%20AST)", "VanVleet 27' 3PT Jump Shot (9 PTS) (Leonard 6 AST)")</f>
        <v>VanVleet 27' 3PT Jump Shot (9 PTS) (Leonard 6 AST)</v>
      </c>
      <c r="L2325" s="2" t="str">
        <f>HYPERLINK("https://www.nba.com/game/...-vs-...-0041800305/play-by-play?watchFullGame=true", "TOR vs MIL - Q3 06:43.00")</f>
        <v>TOR vs MIL - Q3 06:43.00</v>
      </c>
      <c r="M2325">
        <v>27</v>
      </c>
      <c r="N2325">
        <v>-210</v>
      </c>
      <c r="O2325">
        <v>175</v>
      </c>
      <c r="P2325">
        <v>-210</v>
      </c>
      <c r="Q2325">
        <v>175</v>
      </c>
      <c r="R2325" t="s">
        <v>0</v>
      </c>
      <c r="S2325" t="s">
        <v>0</v>
      </c>
      <c r="T2325" t="s">
        <v>0</v>
      </c>
    </row>
    <row r="2326" spans="1:20" x14ac:dyDescent="0.25">
      <c r="A2326">
        <v>41800306</v>
      </c>
      <c r="B2326" t="s">
        <v>4</v>
      </c>
      <c r="C2326" t="s">
        <v>37</v>
      </c>
      <c r="D2326">
        <v>60</v>
      </c>
      <c r="E2326">
        <v>72</v>
      </c>
      <c r="F2326">
        <v>12</v>
      </c>
      <c r="G2326">
        <v>3</v>
      </c>
      <c r="H2326" s="1">
        <v>2.3263888888888887E-3</v>
      </c>
      <c r="I2326" t="s">
        <v>2</v>
      </c>
      <c r="J2326" t="s">
        <v>1</v>
      </c>
      <c r="K2326" s="2" t="str">
        <f>HYPERLINK("https://www.nba.com/stats/events?CFID=&amp;CFPARAMS=&amp;GameEventID=435&amp;GameID=0041800306&amp;Season=2018-19&amp;flag=1&amp;title=Powell%202'%20Driving%20Dunk%20(5%20PTS)%20(Leonard%205%20AST)", "Powell 2' Driving Dunk (5 PTS) (Leonard 5 AST)")</f>
        <v>Powell 2' Driving Dunk (5 PTS) (Leonard 5 AST)</v>
      </c>
      <c r="L2326" s="2" t="str">
        <f>HYPERLINK("https://www.nba.com/game/...-vs-...-0041800306/play-by-play?watchFullGame=true", "TOR vs MIL - Q3 03:21.00")</f>
        <v>TOR vs MIL - Q3 03:21.00</v>
      </c>
      <c r="M2326">
        <v>2</v>
      </c>
      <c r="N2326">
        <v>6</v>
      </c>
      <c r="O2326">
        <v>15</v>
      </c>
      <c r="P2326">
        <v>6</v>
      </c>
      <c r="Q2326">
        <v>15</v>
      </c>
      <c r="R2326" t="s">
        <v>0</v>
      </c>
      <c r="S2326" t="s">
        <v>0</v>
      </c>
      <c r="T2326" t="s">
        <v>0</v>
      </c>
    </row>
    <row r="2327" spans="1:20" x14ac:dyDescent="0.25">
      <c r="A2327">
        <v>41800314</v>
      </c>
      <c r="B2327" t="s">
        <v>4</v>
      </c>
      <c r="C2327" t="s">
        <v>45</v>
      </c>
      <c r="D2327">
        <v>32</v>
      </c>
      <c r="E2327">
        <v>31</v>
      </c>
      <c r="F2327">
        <v>1</v>
      </c>
      <c r="G2327">
        <v>1</v>
      </c>
      <c r="H2327" s="1">
        <v>1.9328703703703704E-3</v>
      </c>
      <c r="I2327" t="s">
        <v>2</v>
      </c>
      <c r="J2327" t="s">
        <v>12</v>
      </c>
      <c r="K2327" s="2" t="str">
        <f>HYPERLINK("https://www.nba.com/stats/events?CFID=&amp;CFPARAMS=&amp;GameEventID=109&amp;GameID=0041800314&amp;Season=2018-19&amp;flag=1&amp;title=Collins%201'%20Alley%20Oop%20Dunk%20(2%20PTS)%20(Leonard%202%20AST)", "Collins 1' Alley Oop Dunk (2 PTS) (Leonard 2 AST)")</f>
        <v>Collins 1' Alley Oop Dunk (2 PTS) (Leonard 2 AST)</v>
      </c>
      <c r="L2327" s="2" t="str">
        <f>HYPERLINK("https://www.nba.com/game/...-vs-...-0041800314/play-by-play?watchFullGame=true", "POR vs GSW - Q1 02:47.00")</f>
        <v>POR vs GSW - Q1 02:47.00</v>
      </c>
      <c r="M2327">
        <v>1</v>
      </c>
      <c r="N2327">
        <v>-9</v>
      </c>
      <c r="O2327">
        <v>6</v>
      </c>
      <c r="P2327">
        <v>-9</v>
      </c>
      <c r="Q2327">
        <v>6</v>
      </c>
      <c r="R2327" t="s">
        <v>0</v>
      </c>
      <c r="S2327" t="s">
        <v>0</v>
      </c>
      <c r="T2327" t="s">
        <v>0</v>
      </c>
    </row>
    <row r="2328" spans="1:20" x14ac:dyDescent="0.25">
      <c r="A2328">
        <v>21600994</v>
      </c>
      <c r="B2328" t="s">
        <v>4</v>
      </c>
      <c r="C2328" t="s">
        <v>44</v>
      </c>
      <c r="D2328">
        <v>60</v>
      </c>
      <c r="E2328">
        <v>49</v>
      </c>
      <c r="F2328">
        <v>11</v>
      </c>
      <c r="G2328">
        <v>3</v>
      </c>
      <c r="H2328" s="1">
        <v>6.5393518518518517E-3</v>
      </c>
      <c r="I2328">
        <v>2016</v>
      </c>
      <c r="J2328" t="s">
        <v>7</v>
      </c>
      <c r="K2328" s="2" t="str">
        <f>HYPERLINK("https://www.nba.com/stats/events?CFID=&amp;CFPARAMS=&amp;GameEventID=293&amp;GameID=0021600994&amp;Season=2016-17&amp;flag=1&amp;title=Lee%202'%20Alley%20Oop%20Layup%20(12%20PTS)%20(Leonard%201%20AST)", "Lee 2' Alley Oop Layup (12 PTS) (Leonard 1 AST)")</f>
        <v>Lee 2' Alley Oop Layup (12 PTS) (Leonard 1 AST)</v>
      </c>
      <c r="L2328" s="2" t="str">
        <f>HYPERLINK("https://www.nba.com/game/...-vs-...-0021600994/play-by-play?watchFullGame=true", "SAS vs ATL - Q3 09:25.00")</f>
        <v>SAS vs ATL - Q3 09:25.00</v>
      </c>
      <c r="M2328">
        <v>2</v>
      </c>
      <c r="N2328">
        <v>22</v>
      </c>
      <c r="O2328">
        <v>7</v>
      </c>
      <c r="P2328">
        <v>22</v>
      </c>
      <c r="Q2328">
        <v>7</v>
      </c>
      <c r="R2328" t="s">
        <v>0</v>
      </c>
      <c r="S2328" t="s">
        <v>0</v>
      </c>
      <c r="T2328" t="s">
        <v>0</v>
      </c>
    </row>
    <row r="2329" spans="1:20" x14ac:dyDescent="0.25">
      <c r="A2329">
        <v>21601002</v>
      </c>
      <c r="B2329" t="s">
        <v>10</v>
      </c>
      <c r="C2329" t="s">
        <v>9</v>
      </c>
      <c r="D2329">
        <v>57</v>
      </c>
      <c r="E2329">
        <v>77</v>
      </c>
      <c r="F2329">
        <v>20</v>
      </c>
      <c r="G2329">
        <v>4</v>
      </c>
      <c r="H2329" s="1">
        <v>8.1712962962962963E-3</v>
      </c>
      <c r="I2329">
        <v>2016</v>
      </c>
      <c r="J2329" t="s">
        <v>12</v>
      </c>
      <c r="K2329" s="2" t="str">
        <f>HYPERLINK("https://www.nba.com/stats/events?CFID=&amp;CFPARAMS=&amp;GameEventID=406&amp;GameID=0021601002&amp;Season=2016-17&amp;flag=1&amp;title=Lillard%2028'%203PT%20Jump%20Shot%20(29%20PTS)%20(Leonard%203%20AST)", "Lillard 28' 3PT Jump Shot (29 PTS) (Leonard 3 AST)")</f>
        <v>Lillard 28' 3PT Jump Shot (29 PTS) (Leonard 3 AST)</v>
      </c>
      <c r="L2329" s="2" t="str">
        <f>HYPERLINK("https://www.nba.com/game/...-vs-...-0021601002/play-by-play?watchFullGame=true", "POR vs NOP - Q4 11:46.00")</f>
        <v>POR vs NOP - Q4 11:46.00</v>
      </c>
      <c r="M2329">
        <v>28</v>
      </c>
      <c r="N2329">
        <v>-117</v>
      </c>
      <c r="O2329">
        <v>249</v>
      </c>
      <c r="P2329">
        <v>-117</v>
      </c>
      <c r="Q2329">
        <v>249</v>
      </c>
      <c r="R2329" t="s">
        <v>0</v>
      </c>
      <c r="S2329" t="s">
        <v>0</v>
      </c>
      <c r="T2329" t="s">
        <v>0</v>
      </c>
    </row>
    <row r="2330" spans="1:20" x14ac:dyDescent="0.25">
      <c r="A2330">
        <v>21601011</v>
      </c>
      <c r="B2330" t="s">
        <v>10</v>
      </c>
      <c r="C2330" t="s">
        <v>9</v>
      </c>
      <c r="D2330">
        <v>5</v>
      </c>
      <c r="E2330">
        <v>3</v>
      </c>
      <c r="F2330">
        <v>2</v>
      </c>
      <c r="G2330">
        <v>1</v>
      </c>
      <c r="H2330" s="1">
        <v>7.4305555555555557E-3</v>
      </c>
      <c r="I2330">
        <v>2016</v>
      </c>
      <c r="J2330" t="s">
        <v>7</v>
      </c>
      <c r="K2330" s="2" t="str">
        <f>HYPERLINK("https://www.nba.com/stats/events?CFID=&amp;CFPARAMS=&amp;GameEventID=8&amp;GameID=0021601011&amp;Season=2016-17&amp;flag=1&amp;title=Mills%20%203PT%20Jump%20Shot%20(3%20PTS)%20(Leonard%201%20AST)", "Mills  3PT Jump Shot (3 PTS) (Leonard 1 AST)")</f>
        <v>Mills  3PT Jump Shot (3 PTS) (Leonard 1 AST)</v>
      </c>
      <c r="L2330" s="2" t="str">
        <f>HYPERLINK("https://www.nba.com/game/...-vs-...-0021601011/play-by-play?watchFullGame=true", "SAS vs POR - Q1 10:42.00")</f>
        <v>SAS vs POR - Q1 10:42.00</v>
      </c>
      <c r="M2330">
        <v>0</v>
      </c>
      <c r="N2330">
        <v>225</v>
      </c>
      <c r="O2330">
        <v>57</v>
      </c>
      <c r="P2330">
        <v>225</v>
      </c>
      <c r="Q2330">
        <v>57</v>
      </c>
      <c r="R2330" t="s">
        <v>0</v>
      </c>
      <c r="S2330" t="s">
        <v>0</v>
      </c>
      <c r="T2330" t="s">
        <v>0</v>
      </c>
    </row>
    <row r="2331" spans="1:20" x14ac:dyDescent="0.25">
      <c r="A2331">
        <v>21601085</v>
      </c>
      <c r="B2331" t="s">
        <v>10</v>
      </c>
      <c r="C2331" t="s">
        <v>9</v>
      </c>
      <c r="D2331">
        <v>101</v>
      </c>
      <c r="E2331">
        <v>88</v>
      </c>
      <c r="F2331">
        <v>13</v>
      </c>
      <c r="G2331">
        <v>4</v>
      </c>
      <c r="H2331" s="1">
        <v>3.0902777777777777E-3</v>
      </c>
      <c r="I2331">
        <v>2016</v>
      </c>
      <c r="J2331" t="s">
        <v>7</v>
      </c>
      <c r="K2331" s="2" t="str">
        <f>HYPERLINK("https://www.nba.com/stats/events?CFID=&amp;CFPARAMS=&amp;GameEventID=459&amp;GameID=0021601085&amp;Season=2016-17&amp;flag=1&amp;title=Gasol%2024'%203PT%20Jump%20Shot%20(19%20PTS)%20(Leonard%205%20AST)", "Gasol 24' 3PT Jump Shot (19 PTS) (Leonard 5 AST)")</f>
        <v>Gasol 24' 3PT Jump Shot (19 PTS) (Leonard 5 AST)</v>
      </c>
      <c r="L2331" s="2" t="str">
        <f>HYPERLINK("https://www.nba.com/game/...-vs-...-0021601085/play-by-play?watchFullGame=true", "SAS vs NYK - Q4 04:27.00")</f>
        <v>SAS vs NYK - Q4 04:27.00</v>
      </c>
      <c r="M2331">
        <v>24</v>
      </c>
      <c r="N2331">
        <v>235</v>
      </c>
      <c r="O2331">
        <v>0</v>
      </c>
      <c r="P2331">
        <v>235</v>
      </c>
      <c r="Q2331">
        <v>0</v>
      </c>
      <c r="R2331" t="s">
        <v>0</v>
      </c>
      <c r="S2331" t="s">
        <v>0</v>
      </c>
      <c r="T2331" t="s">
        <v>0</v>
      </c>
    </row>
    <row r="2332" spans="1:20" x14ac:dyDescent="0.25">
      <c r="A2332">
        <v>21601193</v>
      </c>
      <c r="B2332" t="s">
        <v>4</v>
      </c>
      <c r="C2332" t="s">
        <v>9</v>
      </c>
      <c r="D2332">
        <v>17</v>
      </c>
      <c r="E2332">
        <v>15</v>
      </c>
      <c r="F2332">
        <v>2</v>
      </c>
      <c r="G2332">
        <v>1</v>
      </c>
      <c r="H2332" s="1">
        <v>2.4305555555555556E-3</v>
      </c>
      <c r="I2332">
        <v>2016</v>
      </c>
      <c r="J2332" t="s">
        <v>7</v>
      </c>
      <c r="K2332" s="2" t="str">
        <f>HYPERLINK("https://www.nba.com/stats/events?CFID=&amp;CFPARAMS=&amp;GameEventID=81&amp;GameID=0021601193&amp;Season=2016-17&amp;flag=1&amp;title=Aldridge%2020'%20Jump%20Shot%20(4%20PTS)%20(Leonard%202%20AST)", "Aldridge 20' Jump Shot (4 PTS) (Leonard 2 AST)")</f>
        <v>Aldridge 20' Jump Shot (4 PTS) (Leonard 2 AST)</v>
      </c>
      <c r="L2332" s="2" t="str">
        <f>HYPERLINK("https://www.nba.com/game/...-vs-...-0021601193/play-by-play?watchFullGame=true", "SAS vs LAC - Q1 03:30.00")</f>
        <v>SAS vs LAC - Q1 03:30.00</v>
      </c>
      <c r="M2332">
        <v>20</v>
      </c>
      <c r="N2332">
        <v>10</v>
      </c>
      <c r="O2332">
        <v>195</v>
      </c>
      <c r="P2332">
        <v>10</v>
      </c>
      <c r="Q2332">
        <v>195</v>
      </c>
      <c r="R2332" t="s">
        <v>0</v>
      </c>
      <c r="S2332" t="s">
        <v>0</v>
      </c>
      <c r="T2332" t="s">
        <v>0</v>
      </c>
    </row>
    <row r="2333" spans="1:20" x14ac:dyDescent="0.25">
      <c r="A2333">
        <v>21601227</v>
      </c>
      <c r="B2333" t="s">
        <v>10</v>
      </c>
      <c r="C2333" t="s">
        <v>9</v>
      </c>
      <c r="D2333">
        <v>17</v>
      </c>
      <c r="E2333">
        <v>20</v>
      </c>
      <c r="F2333">
        <v>3</v>
      </c>
      <c r="G2333">
        <v>1</v>
      </c>
      <c r="H2333" s="1">
        <v>1.7939814814814815E-3</v>
      </c>
      <c r="I2333">
        <v>2016</v>
      </c>
      <c r="J2333" t="s">
        <v>7</v>
      </c>
      <c r="K2333" s="2" t="str">
        <f>HYPERLINK("https://www.nba.com/stats/events?CFID=&amp;CFPARAMS=&amp;GameEventID=74&amp;GameID=0021601227&amp;Season=2016-17&amp;flag=1&amp;title=Mills%2025'%203PT%20Jump%20Shot%20(3%20PTS)%20(Leonard%202%20AST)", "Mills 25' 3PT Jump Shot (3 PTS) (Leonard 2 AST)")</f>
        <v>Mills 25' 3PT Jump Shot (3 PTS) (Leonard 2 AST)</v>
      </c>
      <c r="L2333" s="2" t="str">
        <f>HYPERLINK("https://www.nba.com/game/...-vs-...-0021601227/play-by-play?watchFullGame=true", "SAS vs UTA - Q1 02:35.00")</f>
        <v>SAS vs UTA - Q1 02:35.00</v>
      </c>
      <c r="M2333">
        <v>25</v>
      </c>
      <c r="N2333">
        <v>143</v>
      </c>
      <c r="O2333">
        <v>210</v>
      </c>
      <c r="P2333">
        <v>143</v>
      </c>
      <c r="Q2333">
        <v>210</v>
      </c>
      <c r="R2333" t="s">
        <v>0</v>
      </c>
      <c r="S2333" t="s">
        <v>0</v>
      </c>
      <c r="T2333" t="s">
        <v>0</v>
      </c>
    </row>
    <row r="2334" spans="1:20" x14ac:dyDescent="0.25">
      <c r="A2334">
        <v>21800055</v>
      </c>
      <c r="B2334" t="s">
        <v>4</v>
      </c>
      <c r="C2334" t="s">
        <v>36</v>
      </c>
      <c r="D2334">
        <v>100</v>
      </c>
      <c r="E2334">
        <v>83</v>
      </c>
      <c r="F2334">
        <v>17</v>
      </c>
      <c r="G2334">
        <v>4</v>
      </c>
      <c r="H2334" s="1">
        <v>3.6111111111111109E-3</v>
      </c>
      <c r="I2334">
        <v>2018</v>
      </c>
      <c r="J2334" t="s">
        <v>1</v>
      </c>
      <c r="K2334" s="2" t="str">
        <f>HYPERLINK("https://www.nba.com/stats/events?CFID=&amp;CFPARAMS=&amp;GameEventID=572&amp;GameID=0021800055&amp;Season=2018-19&amp;flag=1&amp;title=Lowry%202'%20Running%20Layup%20(9%20PTS)%20(Leonard%202%20AST)", "Lowry 2' Running Layup (9 PTS) (Leonard 2 AST)")</f>
        <v>Lowry 2' Running Layup (9 PTS) (Leonard 2 AST)</v>
      </c>
      <c r="L2334" s="2" t="str">
        <f>HYPERLINK("https://www.nba.com/game/...-vs-...-0021800055/play-by-play?watchFullGame=true", "TOR vs MIN - Q4 05:12.00")</f>
        <v>TOR vs MIN - Q4 05:12.00</v>
      </c>
      <c r="M2334">
        <v>2</v>
      </c>
      <c r="N2334">
        <v>16</v>
      </c>
      <c r="O2334">
        <v>-7</v>
      </c>
      <c r="P2334">
        <v>16</v>
      </c>
      <c r="Q2334">
        <v>-7</v>
      </c>
      <c r="R2334" t="s">
        <v>0</v>
      </c>
      <c r="S2334" t="s">
        <v>0</v>
      </c>
      <c r="T2334" t="s">
        <v>0</v>
      </c>
    </row>
    <row r="2335" spans="1:20" x14ac:dyDescent="0.25">
      <c r="A2335">
        <v>21800161</v>
      </c>
      <c r="B2335" t="s">
        <v>10</v>
      </c>
      <c r="C2335" t="s">
        <v>9</v>
      </c>
      <c r="D2335">
        <v>57</v>
      </c>
      <c r="E2335">
        <v>46</v>
      </c>
      <c r="F2335">
        <v>11</v>
      </c>
      <c r="G2335">
        <v>2</v>
      </c>
      <c r="H2335" s="1">
        <v>2.0833333333333333E-3</v>
      </c>
      <c r="I2335">
        <v>2018</v>
      </c>
      <c r="J2335" t="s">
        <v>1</v>
      </c>
      <c r="K2335" s="2" t="str">
        <f>HYPERLINK("https://www.nba.com/stats/events?CFID=&amp;CFPARAMS=&amp;GameEventID=301&amp;GameID=0021800161&amp;Season=2018-19&amp;flag=1&amp;title=Green%2026'%203PT%20Jump%20Shot%20(3%20PTS)%20(Leonard%201%20AST)", "Green 26' 3PT Jump Shot (3 PTS) (Leonard 1 AST)")</f>
        <v>Green 26' 3PT Jump Shot (3 PTS) (Leonard 1 AST)</v>
      </c>
      <c r="L2335" s="2" t="str">
        <f>HYPERLINK("https://www.nba.com/game/...-vs-...-0021800161/play-by-play?watchFullGame=true", "TOR vs SAC - Q2 03:00.00")</f>
        <v>TOR vs SAC - Q2 03:00.00</v>
      </c>
      <c r="M2335">
        <v>26</v>
      </c>
      <c r="N2335">
        <v>178</v>
      </c>
      <c r="O2335">
        <v>186</v>
      </c>
      <c r="P2335">
        <v>178</v>
      </c>
      <c r="Q2335">
        <v>186</v>
      </c>
      <c r="R2335" t="s">
        <v>0</v>
      </c>
      <c r="S2335" t="s">
        <v>0</v>
      </c>
      <c r="T2335" t="s">
        <v>0</v>
      </c>
    </row>
    <row r="2336" spans="1:20" x14ac:dyDescent="0.25">
      <c r="A2336">
        <v>21800739</v>
      </c>
      <c r="B2336" t="s">
        <v>4</v>
      </c>
      <c r="C2336" t="s">
        <v>29</v>
      </c>
      <c r="D2336">
        <v>116</v>
      </c>
      <c r="E2336">
        <v>112</v>
      </c>
      <c r="F2336">
        <v>4</v>
      </c>
      <c r="G2336">
        <v>4</v>
      </c>
      <c r="H2336" s="1">
        <v>1.0879629629629629E-3</v>
      </c>
      <c r="I2336">
        <v>2018</v>
      </c>
      <c r="J2336" t="s">
        <v>1</v>
      </c>
      <c r="K2336" s="2" t="str">
        <f>HYPERLINK("https://www.nba.com/stats/events?CFID=&amp;CFPARAMS=&amp;GameEventID=670&amp;GameID=0021800739&amp;Season=2018-19&amp;flag=1&amp;title=Green%2012'%20Driving%20Floating%20Jump%20Shot%20(10%20PTS)%20(Leonard%203%20AST)", "Green 12' Driving Floating Jump Shot (10 PTS) (Leonard 3 AST)")</f>
        <v>Green 12' Driving Floating Jump Shot (10 PTS) (Leonard 3 AST)</v>
      </c>
      <c r="L2336" s="2" t="str">
        <f>HYPERLINK("https://www.nba.com/game/...-vs-...-0021800739/play-by-play?watchFullGame=true", "TOR vs DAL - Q4 01:34.00")</f>
        <v>TOR vs DAL - Q4 01:34.00</v>
      </c>
      <c r="M2336">
        <v>12</v>
      </c>
      <c r="N2336">
        <v>-74</v>
      </c>
      <c r="O2336">
        <v>99</v>
      </c>
      <c r="P2336">
        <v>-74</v>
      </c>
      <c r="Q2336">
        <v>99</v>
      </c>
      <c r="R2336" t="s">
        <v>0</v>
      </c>
      <c r="S2336" t="s">
        <v>0</v>
      </c>
      <c r="T2336" t="s">
        <v>0</v>
      </c>
    </row>
    <row r="2337" spans="1:20" x14ac:dyDescent="0.25">
      <c r="A2337">
        <v>21800739</v>
      </c>
      <c r="B2337" t="s">
        <v>10</v>
      </c>
      <c r="C2337" t="s">
        <v>9</v>
      </c>
      <c r="D2337">
        <v>18</v>
      </c>
      <c r="E2337">
        <v>7</v>
      </c>
      <c r="F2337">
        <v>11</v>
      </c>
      <c r="G2337">
        <v>1</v>
      </c>
      <c r="H2337" s="1">
        <v>5.0462962962962961E-3</v>
      </c>
      <c r="I2337">
        <v>2018</v>
      </c>
      <c r="J2337" t="s">
        <v>1</v>
      </c>
      <c r="K2337" s="2" t="str">
        <f>HYPERLINK("https://www.nba.com/stats/events?CFID=&amp;CFPARAMS=&amp;GameEventID=51&amp;GameID=0021800739&amp;Season=2018-19&amp;flag=1&amp;title=Lowry%2026'%203PT%20Jump%20Shot%20(3%20PTS)%20(Leonard%202%20AST)", "Lowry 26' 3PT Jump Shot (3 PTS) (Leonard 2 AST)")</f>
        <v>Lowry 26' 3PT Jump Shot (3 PTS) (Leonard 2 AST)</v>
      </c>
      <c r="L2337" s="2" t="str">
        <f>HYPERLINK("https://www.nba.com/game/...-vs-...-0021800739/play-by-play?watchFullGame=true", "TOR vs DAL - Q1 07:16.00")</f>
        <v>TOR vs DAL - Q1 07:16.00</v>
      </c>
      <c r="M2337">
        <v>26</v>
      </c>
      <c r="N2337">
        <v>87</v>
      </c>
      <c r="O2337">
        <v>247</v>
      </c>
      <c r="P2337">
        <v>87</v>
      </c>
      <c r="Q2337">
        <v>247</v>
      </c>
      <c r="R2337" t="s">
        <v>0</v>
      </c>
      <c r="S2337" t="s">
        <v>0</v>
      </c>
      <c r="T2337" t="s">
        <v>0</v>
      </c>
    </row>
    <row r="2338" spans="1:20" x14ac:dyDescent="0.25">
      <c r="A2338">
        <v>21800991</v>
      </c>
      <c r="B2338" t="s">
        <v>10</v>
      </c>
      <c r="C2338" t="s">
        <v>9</v>
      </c>
      <c r="D2338">
        <v>114</v>
      </c>
      <c r="E2338">
        <v>89</v>
      </c>
      <c r="F2338">
        <v>25</v>
      </c>
      <c r="G2338">
        <v>4</v>
      </c>
      <c r="H2338" s="1">
        <v>5.0810185185185186E-3</v>
      </c>
      <c r="I2338">
        <v>2018</v>
      </c>
      <c r="J2338" t="s">
        <v>12</v>
      </c>
      <c r="K2338" s="2" t="str">
        <f>HYPERLINK("https://www.nba.com/stats/events?CFID=&amp;CFPARAMS=&amp;GameEventID=627&amp;GameID=0021800991&amp;Season=2018-19&amp;flag=1&amp;title=Curry%2029'%203PT%20Jump%20Shot%20(14%20PTS)%20(Leonard%201%20AST)", "Curry 29' 3PT Jump Shot (14 PTS) (Leonard 1 AST)")</f>
        <v>Curry 29' 3PT Jump Shot (14 PTS) (Leonard 1 AST)</v>
      </c>
      <c r="L2338" s="2" t="str">
        <f>HYPERLINK("https://www.nba.com/game/...-vs-...-0021800991/play-by-play?watchFullGame=true", "POR vs PHX - Q4 07:19.00")</f>
        <v>POR vs PHX - Q4 07:19.00</v>
      </c>
      <c r="M2338">
        <v>29</v>
      </c>
      <c r="N2338">
        <v>131</v>
      </c>
      <c r="O2338">
        <v>260</v>
      </c>
      <c r="P2338">
        <v>131</v>
      </c>
      <c r="Q2338">
        <v>260</v>
      </c>
      <c r="R2338" t="s">
        <v>0</v>
      </c>
      <c r="S2338" t="s">
        <v>0</v>
      </c>
      <c r="T2338" t="s">
        <v>0</v>
      </c>
    </row>
    <row r="2339" spans="1:20" x14ac:dyDescent="0.25">
      <c r="A2339">
        <v>21801072</v>
      </c>
      <c r="B2339" t="s">
        <v>10</v>
      </c>
      <c r="C2339" t="s">
        <v>19</v>
      </c>
      <c r="D2339">
        <v>24</v>
      </c>
      <c r="E2339">
        <v>21</v>
      </c>
      <c r="F2339">
        <v>3</v>
      </c>
      <c r="G2339">
        <v>1</v>
      </c>
      <c r="H2339" s="1">
        <v>2.7199074074074074E-3</v>
      </c>
      <c r="I2339">
        <v>2018</v>
      </c>
      <c r="J2339" t="s">
        <v>1</v>
      </c>
      <c r="K2339" s="2" t="str">
        <f>HYPERLINK("https://www.nba.com/stats/events?CFID=&amp;CFPARAMS=&amp;GameEventID=86&amp;GameID=0021801072&amp;Season=2018-19&amp;flag=1&amp;title=Green%2025'%203PT%20Pullup%20Jump%20Shot%20(9%20PTS)%20(Leonard%203%20AST)", "Green 25' 3PT Pullup Jump Shot (9 PTS) (Leonard 3 AST)")</f>
        <v>Green 25' 3PT Pullup Jump Shot (9 PTS) (Leonard 3 AST)</v>
      </c>
      <c r="L2339" s="2" t="str">
        <f>HYPERLINK("https://www.nba.com/game/...-vs-...-0021801072/play-by-play?watchFullGame=true", "TOR vs OKC - Q1 03:55.00")</f>
        <v>TOR vs OKC - Q1 03:55.00</v>
      </c>
      <c r="M2339">
        <v>25</v>
      </c>
      <c r="N2339">
        <v>-107</v>
      </c>
      <c r="O2339">
        <v>230</v>
      </c>
      <c r="P2339">
        <v>-107</v>
      </c>
      <c r="Q2339">
        <v>230</v>
      </c>
      <c r="R2339" t="s">
        <v>0</v>
      </c>
      <c r="S2339" t="s">
        <v>0</v>
      </c>
      <c r="T2339" t="s">
        <v>0</v>
      </c>
    </row>
    <row r="2340" spans="1:20" x14ac:dyDescent="0.25">
      <c r="A2340">
        <v>21801156</v>
      </c>
      <c r="B2340" t="s">
        <v>4</v>
      </c>
      <c r="C2340" t="s">
        <v>29</v>
      </c>
      <c r="D2340">
        <v>2</v>
      </c>
      <c r="E2340">
        <v>7</v>
      </c>
      <c r="F2340">
        <v>5</v>
      </c>
      <c r="G2340">
        <v>1</v>
      </c>
      <c r="H2340" s="1">
        <v>6.9444444444444441E-3</v>
      </c>
      <c r="I2340">
        <v>2018</v>
      </c>
      <c r="J2340" t="s">
        <v>1</v>
      </c>
      <c r="K2340" s="2" t="str">
        <f>HYPERLINK("https://www.nba.com/stats/events?CFID=&amp;CFPARAMS=&amp;GameEventID=22&amp;GameID=0021801156&amp;Season=2018-19&amp;flag=1&amp;title=Green%208'%20Driving%20Floating%20Jump%20Shot%20(2%20PTS)%20(Leonard%201%20AST)", "Green 8' Driving Floating Jump Shot (2 PTS) (Leonard 1 AST)")</f>
        <v>Green 8' Driving Floating Jump Shot (2 PTS) (Leonard 1 AST)</v>
      </c>
      <c r="L2340" s="2" t="str">
        <f>HYPERLINK("https://www.nba.com/game/...-vs-...-0021801156/play-by-play?watchFullGame=true", "TOR vs ORL - Q1 10:00.00")</f>
        <v>TOR vs ORL - Q1 10:00.00</v>
      </c>
      <c r="M2340">
        <v>8</v>
      </c>
      <c r="N2340">
        <v>-9</v>
      </c>
      <c r="O2340">
        <v>75</v>
      </c>
      <c r="P2340">
        <v>-9</v>
      </c>
      <c r="Q2340">
        <v>75</v>
      </c>
      <c r="R2340" t="s">
        <v>0</v>
      </c>
      <c r="S2340" t="s">
        <v>0</v>
      </c>
      <c r="T2340" t="s">
        <v>0</v>
      </c>
    </row>
    <row r="2341" spans="1:20" x14ac:dyDescent="0.25">
      <c r="A2341">
        <v>21801157</v>
      </c>
      <c r="B2341" t="s">
        <v>10</v>
      </c>
      <c r="C2341" t="s">
        <v>9</v>
      </c>
      <c r="D2341">
        <v>57</v>
      </c>
      <c r="E2341">
        <v>38</v>
      </c>
      <c r="F2341">
        <v>19</v>
      </c>
      <c r="G2341">
        <v>2</v>
      </c>
      <c r="H2341" s="1">
        <v>4.5949074074074078E-3</v>
      </c>
      <c r="I2341">
        <v>2018</v>
      </c>
      <c r="J2341" t="s">
        <v>12</v>
      </c>
      <c r="K2341" s="2" t="str">
        <f>HYPERLINK("https://www.nba.com/stats/events?CFID=&amp;CFPARAMS=&amp;GameEventID=214&amp;GameID=0021801157&amp;Season=2018-19&amp;flag=1&amp;title=Turner%203PT%20Jump%20Shot%20(5%20PTS)%20(Leonard%201%20AST)", "Turner 3PT Jump Shot (5 PTS) (Leonard 1 AST)")</f>
        <v>Turner 3PT Jump Shot (5 PTS) (Leonard 1 AST)</v>
      </c>
      <c r="L2341" s="2" t="str">
        <f>HYPERLINK("https://www.nba.com/game/...-vs-...-0021801157/play-by-play?watchFullGame=true", "POR vs MIN - Q2 06:37.00")</f>
        <v>POR vs MIN - Q2 06:37.00</v>
      </c>
      <c r="M2341">
        <v>0</v>
      </c>
      <c r="N2341">
        <v>-221</v>
      </c>
      <c r="O2341">
        <v>-11</v>
      </c>
      <c r="P2341">
        <v>-221</v>
      </c>
      <c r="Q2341">
        <v>-11</v>
      </c>
      <c r="R2341" t="s">
        <v>0</v>
      </c>
      <c r="S2341" t="s">
        <v>0</v>
      </c>
      <c r="T2341" t="s">
        <v>0</v>
      </c>
    </row>
    <row r="2342" spans="1:20" x14ac:dyDescent="0.25">
      <c r="A2342">
        <v>41500236</v>
      </c>
      <c r="B2342" t="s">
        <v>4</v>
      </c>
      <c r="C2342" t="s">
        <v>6</v>
      </c>
      <c r="D2342">
        <v>16</v>
      </c>
      <c r="E2342">
        <v>10</v>
      </c>
      <c r="F2342">
        <v>6</v>
      </c>
      <c r="G2342">
        <v>1</v>
      </c>
      <c r="H2342" s="1">
        <v>3.1018518518518517E-3</v>
      </c>
      <c r="I2342" t="s">
        <v>11</v>
      </c>
      <c r="J2342" t="s">
        <v>7</v>
      </c>
      <c r="K2342" s="2" t="str">
        <f>HYPERLINK("https://www.nba.com/stats/events?CFID=&amp;CFPARAMS=&amp;GameEventID=51&amp;GameID=0041500236&amp;Season=2015-16&amp;flag=1&amp;title=Aldridge%20%20Cutting%20Dunk%20Shot%20(8%20PTS)%20(Leonard%202%20AST)", "Aldridge  Cutting Dunk Shot (8 PTS) (Leonard 2 AST)")</f>
        <v>Aldridge  Cutting Dunk Shot (8 PTS) (Leonard 2 AST)</v>
      </c>
      <c r="L2342" s="2" t="str">
        <f>HYPERLINK("https://www.nba.com/game/...-vs-...-0041500236/play-by-play?watchFullGame=true", "SAS vs OKC - Q1 04:28.00")</f>
        <v>SAS vs OKC - Q1 04:28.00</v>
      </c>
      <c r="M2342">
        <v>0</v>
      </c>
      <c r="N2342">
        <v>0</v>
      </c>
      <c r="O2342">
        <v>1</v>
      </c>
      <c r="P2342">
        <v>0</v>
      </c>
      <c r="Q2342">
        <v>1</v>
      </c>
      <c r="R2342" t="s">
        <v>0</v>
      </c>
      <c r="S2342" t="s">
        <v>0</v>
      </c>
      <c r="T2342" t="s">
        <v>0</v>
      </c>
    </row>
    <row r="2343" spans="1:20" x14ac:dyDescent="0.25">
      <c r="A2343">
        <v>41600151</v>
      </c>
      <c r="B2343" t="s">
        <v>10</v>
      </c>
      <c r="C2343" t="s">
        <v>9</v>
      </c>
      <c r="D2343">
        <v>23</v>
      </c>
      <c r="E2343">
        <v>28</v>
      </c>
      <c r="F2343">
        <v>5</v>
      </c>
      <c r="G2343">
        <v>1</v>
      </c>
      <c r="H2343" s="1">
        <v>7.6388888888888893E-4</v>
      </c>
      <c r="I2343" t="s">
        <v>8</v>
      </c>
      <c r="J2343" t="s">
        <v>7</v>
      </c>
      <c r="K2343" s="2" t="str">
        <f>HYPERLINK("https://www.nba.com/stats/events?CFID=&amp;CFPARAMS=&amp;GameEventID=77&amp;GameID=0041600151&amp;Season=2016-17&amp;flag=1&amp;title=Mills%20%203PT%20Jump%20Shot%20(3%20PTS)%20(Leonard%202%20AST)", "Mills  3PT Jump Shot (3 PTS) (Leonard 2 AST)")</f>
        <v>Mills  3PT Jump Shot (3 PTS) (Leonard 2 AST)</v>
      </c>
      <c r="L2343" s="2" t="str">
        <f>HYPERLINK("https://www.nba.com/game/...-vs-...-0041600151/play-by-play?watchFullGame=true", "SAS vs MEM - Q1 01:06.00")</f>
        <v>SAS vs MEM - Q1 01:06.00</v>
      </c>
      <c r="M2343">
        <v>0</v>
      </c>
      <c r="N2343">
        <v>-228</v>
      </c>
      <c r="O2343">
        <v>7</v>
      </c>
      <c r="P2343">
        <v>-228</v>
      </c>
      <c r="Q2343">
        <v>7</v>
      </c>
      <c r="R2343" t="s">
        <v>0</v>
      </c>
      <c r="S2343" t="s">
        <v>0</v>
      </c>
      <c r="T2343" t="s">
        <v>0</v>
      </c>
    </row>
    <row r="2344" spans="1:20" x14ac:dyDescent="0.25">
      <c r="A2344">
        <v>41600155</v>
      </c>
      <c r="B2344" t="s">
        <v>4</v>
      </c>
      <c r="C2344" t="s">
        <v>18</v>
      </c>
      <c r="D2344">
        <v>23</v>
      </c>
      <c r="E2344">
        <v>19</v>
      </c>
      <c r="F2344">
        <v>4</v>
      </c>
      <c r="G2344">
        <v>1</v>
      </c>
      <c r="H2344" s="1">
        <v>1.1226851851851851E-3</v>
      </c>
      <c r="I2344" t="s">
        <v>8</v>
      </c>
      <c r="J2344" t="s">
        <v>7</v>
      </c>
      <c r="K2344" s="2" t="str">
        <f>HYPERLINK("https://www.nba.com/stats/events?CFID=&amp;CFPARAMS=&amp;GameEventID=103&amp;GameID=0041600155&amp;Season=2016-17&amp;flag=1&amp;title=Gasol%207'%20Hook%20Shot%20(2%20PTS)%20(Leonard%202%20AST)", "Gasol 7' Hook Shot (2 PTS) (Leonard 2 AST)")</f>
        <v>Gasol 7' Hook Shot (2 PTS) (Leonard 2 AST)</v>
      </c>
      <c r="L2344" s="2" t="str">
        <f>HYPERLINK("https://www.nba.com/game/...-vs-...-0041600155/play-by-play?watchFullGame=true", "SAS vs MEM - Q1 01:37.00")</f>
        <v>SAS vs MEM - Q1 01:37.00</v>
      </c>
      <c r="M2344">
        <v>7</v>
      </c>
      <c r="N2344">
        <v>10</v>
      </c>
      <c r="O2344">
        <v>67</v>
      </c>
      <c r="P2344">
        <v>10</v>
      </c>
      <c r="Q2344">
        <v>67</v>
      </c>
      <c r="R2344" t="s">
        <v>0</v>
      </c>
      <c r="S2344" t="s">
        <v>0</v>
      </c>
      <c r="T2344" t="s">
        <v>0</v>
      </c>
    </row>
    <row r="2345" spans="1:20" x14ac:dyDescent="0.25">
      <c r="A2345">
        <v>41800214</v>
      </c>
      <c r="B2345" t="s">
        <v>10</v>
      </c>
      <c r="C2345" t="s">
        <v>9</v>
      </c>
      <c r="D2345">
        <v>84</v>
      </c>
      <c r="E2345">
        <v>84</v>
      </c>
      <c r="F2345">
        <v>0</v>
      </c>
      <c r="G2345">
        <v>4</v>
      </c>
      <c r="H2345" s="1">
        <v>4.9652777777777777E-3</v>
      </c>
      <c r="I2345" t="s">
        <v>2</v>
      </c>
      <c r="J2345" t="s">
        <v>1</v>
      </c>
      <c r="K2345" s="2" t="str">
        <f>HYPERLINK("https://www.nba.com/stats/events?CFID=&amp;CFPARAMS=&amp;GameEventID=544&amp;GameID=0041800214&amp;Season=2018-19&amp;flag=1&amp;title=Gasol%2026'%203PT%20Jump%20Shot%20(16%20PTS)%20(Leonard%204%20AST)", "Gasol 26' 3PT Jump Shot (16 PTS) (Leonard 4 AST)")</f>
        <v>Gasol 26' 3PT Jump Shot (16 PTS) (Leonard 4 AST)</v>
      </c>
      <c r="L2345" s="2" t="str">
        <f>HYPERLINK("https://www.nba.com/game/...-vs-...-0041800214/play-by-play?watchFullGame=true", "TOR vs PHI - Q4 07:09.00")</f>
        <v>TOR vs PHI - Q4 07:09.00</v>
      </c>
      <c r="M2345">
        <v>26</v>
      </c>
      <c r="N2345">
        <v>-158</v>
      </c>
      <c r="O2345">
        <v>209</v>
      </c>
      <c r="P2345">
        <v>-158</v>
      </c>
      <c r="Q2345">
        <v>209</v>
      </c>
      <c r="R2345" t="s">
        <v>0</v>
      </c>
      <c r="S2345" t="s">
        <v>0</v>
      </c>
      <c r="T2345" t="s">
        <v>0</v>
      </c>
    </row>
    <row r="2346" spans="1:20" x14ac:dyDescent="0.25">
      <c r="A2346">
        <v>41800215</v>
      </c>
      <c r="B2346" t="s">
        <v>10</v>
      </c>
      <c r="C2346" t="s">
        <v>9</v>
      </c>
      <c r="D2346">
        <v>36</v>
      </c>
      <c r="E2346">
        <v>28</v>
      </c>
      <c r="F2346">
        <v>8</v>
      </c>
      <c r="G2346">
        <v>2</v>
      </c>
      <c r="H2346" s="1">
        <v>6.5972222222222222E-3</v>
      </c>
      <c r="I2346" t="s">
        <v>2</v>
      </c>
      <c r="J2346" t="s">
        <v>1</v>
      </c>
      <c r="K2346" s="2" t="str">
        <f>HYPERLINK("https://www.nba.com/stats/events?CFID=&amp;CFPARAMS=&amp;GameEventID=226&amp;GameID=0041800215&amp;Season=2018-19&amp;flag=1&amp;title=Gasol%2027'%203PT%20Jump%20Shot%20(5%20PTS)%20(Leonard%202%20AST)", "Gasol 27' 3PT Jump Shot (5 PTS) (Leonard 2 AST)")</f>
        <v>Gasol 27' 3PT Jump Shot (5 PTS) (Leonard 2 AST)</v>
      </c>
      <c r="L2346" s="2" t="str">
        <f>HYPERLINK("https://www.nba.com/game/...-vs-...-0041800215/play-by-play?watchFullGame=true", "TOR vs PHI - Q2 09:30.00")</f>
        <v>TOR vs PHI - Q2 09:30.00</v>
      </c>
      <c r="M2346">
        <v>27</v>
      </c>
      <c r="N2346">
        <v>20</v>
      </c>
      <c r="O2346">
        <v>269</v>
      </c>
      <c r="P2346">
        <v>20</v>
      </c>
      <c r="Q2346">
        <v>269</v>
      </c>
      <c r="R2346" t="s">
        <v>0</v>
      </c>
      <c r="S2346" t="s">
        <v>0</v>
      </c>
      <c r="T2346" t="s">
        <v>0</v>
      </c>
    </row>
    <row r="2347" spans="1:20" x14ac:dyDescent="0.25">
      <c r="A2347">
        <v>41800215</v>
      </c>
      <c r="B2347" t="s">
        <v>10</v>
      </c>
      <c r="C2347" t="s">
        <v>9</v>
      </c>
      <c r="D2347">
        <v>73</v>
      </c>
      <c r="E2347">
        <v>57</v>
      </c>
      <c r="F2347">
        <v>16</v>
      </c>
      <c r="G2347">
        <v>3</v>
      </c>
      <c r="H2347" s="1">
        <v>4.8611111111111112E-3</v>
      </c>
      <c r="I2347" t="s">
        <v>2</v>
      </c>
      <c r="J2347" t="s">
        <v>1</v>
      </c>
      <c r="K2347" s="2" t="str">
        <f>HYPERLINK("https://www.nba.com/stats/events?CFID=&amp;CFPARAMS=&amp;GameEventID=405&amp;GameID=0041800215&amp;Season=2018-19&amp;flag=1&amp;title=Green%203PT%20Jump%20Shot%20(14%20PTS)%20(Leonard%204%20AST)", "Green 3PT Jump Shot (14 PTS) (Leonard 4 AST)")</f>
        <v>Green 3PT Jump Shot (14 PTS) (Leonard 4 AST)</v>
      </c>
      <c r="L2347" s="2" t="str">
        <f>HYPERLINK("https://www.nba.com/game/...-vs-...-0041800215/play-by-play?watchFullGame=true", "TOR vs PHI - Q3 07:00.00")</f>
        <v>TOR vs PHI - Q3 07:00.00</v>
      </c>
      <c r="M2347">
        <v>0</v>
      </c>
      <c r="N2347">
        <v>231</v>
      </c>
      <c r="O2347">
        <v>12</v>
      </c>
      <c r="P2347">
        <v>231</v>
      </c>
      <c r="Q2347">
        <v>12</v>
      </c>
      <c r="R2347" t="s">
        <v>0</v>
      </c>
      <c r="S2347" t="s">
        <v>0</v>
      </c>
      <c r="T2347" t="s">
        <v>0</v>
      </c>
    </row>
    <row r="2348" spans="1:20" x14ac:dyDescent="0.25">
      <c r="A2348">
        <v>41800312</v>
      </c>
      <c r="B2348" t="s">
        <v>10</v>
      </c>
      <c r="C2348" t="s">
        <v>9</v>
      </c>
      <c r="D2348">
        <v>27</v>
      </c>
      <c r="E2348">
        <v>23</v>
      </c>
      <c r="F2348">
        <v>4</v>
      </c>
      <c r="G2348">
        <v>1</v>
      </c>
      <c r="H2348" s="1">
        <v>1.4583333333333334E-3</v>
      </c>
      <c r="I2348" t="s">
        <v>2</v>
      </c>
      <c r="J2348" t="s">
        <v>12</v>
      </c>
      <c r="K2348" s="2" t="str">
        <f>HYPERLINK("https://www.nba.com/stats/events?CFID=&amp;CFPARAMS=&amp;GameEventID=127&amp;GameID=0041800312&amp;Season=2018-19&amp;flag=1&amp;title=Harkless%2026'%203PT%20Jump%20Shot%20(8%20PTS)%20(Leonard%201%20AST)", "Harkless 26' 3PT Jump Shot (8 PTS) (Leonard 1 AST)")</f>
        <v>Harkless 26' 3PT Jump Shot (8 PTS) (Leonard 1 AST)</v>
      </c>
      <c r="L2348" s="2" t="str">
        <f>HYPERLINK("https://www.nba.com/game/...-vs-...-0041800312/play-by-play?watchFullGame=true", "POR vs GSW - Q1 02:06.00")</f>
        <v>POR vs GSW - Q1 02:06.00</v>
      </c>
      <c r="M2348">
        <v>26</v>
      </c>
      <c r="N2348">
        <v>-220</v>
      </c>
      <c r="O2348">
        <v>131</v>
      </c>
      <c r="P2348">
        <v>-220</v>
      </c>
      <c r="Q2348">
        <v>131</v>
      </c>
      <c r="R2348" t="s">
        <v>0</v>
      </c>
      <c r="S2348" t="s">
        <v>0</v>
      </c>
      <c r="T2348" t="s">
        <v>0</v>
      </c>
    </row>
    <row r="2349" spans="1:20" x14ac:dyDescent="0.25">
      <c r="A2349">
        <v>41800405</v>
      </c>
      <c r="B2349" t="s">
        <v>4</v>
      </c>
      <c r="C2349" t="s">
        <v>9</v>
      </c>
      <c r="D2349">
        <v>10</v>
      </c>
      <c r="E2349">
        <v>13</v>
      </c>
      <c r="F2349">
        <v>3</v>
      </c>
      <c r="G2349">
        <v>1</v>
      </c>
      <c r="H2349" s="1">
        <v>5.7407407407407407E-3</v>
      </c>
      <c r="I2349" t="s">
        <v>2</v>
      </c>
      <c r="J2349" t="s">
        <v>1</v>
      </c>
      <c r="K2349" s="2" t="str">
        <f>HYPERLINK("https://www.nba.com/stats/events?CFID=&amp;CFPARAMS=&amp;GameEventID=46&amp;GameID=0041800405&amp;Season=2018-19&amp;flag=1&amp;title=Green%2021'%20Jump%20Shot%20(2%20PTS)%20(Leonard%202%20AST)", "Green 21' Jump Shot (2 PTS) (Leonard 2 AST)")</f>
        <v>Green 21' Jump Shot (2 PTS) (Leonard 2 AST)</v>
      </c>
      <c r="L2349" s="2" t="str">
        <f>HYPERLINK("https://www.nba.com/game/...-vs-...-0041800405/play-by-play?watchFullGame=true", "TOR vs GSW - Q1 08:16.00")</f>
        <v>TOR vs GSW - Q1 08:16.00</v>
      </c>
      <c r="M2349">
        <v>21</v>
      </c>
      <c r="N2349">
        <v>-209</v>
      </c>
      <c r="O2349">
        <v>-13</v>
      </c>
      <c r="P2349">
        <v>-209</v>
      </c>
      <c r="Q2349">
        <v>-13</v>
      </c>
      <c r="R2349" t="s">
        <v>0</v>
      </c>
      <c r="S2349" t="s">
        <v>0</v>
      </c>
      <c r="T2349" t="s">
        <v>0</v>
      </c>
    </row>
    <row r="2350" spans="1:20" x14ac:dyDescent="0.25">
      <c r="A2350">
        <v>41200232</v>
      </c>
      <c r="B2350" t="s">
        <v>4</v>
      </c>
      <c r="C2350" t="s">
        <v>19</v>
      </c>
      <c r="D2350">
        <v>78</v>
      </c>
      <c r="E2350">
        <v>86</v>
      </c>
      <c r="F2350">
        <v>8</v>
      </c>
      <c r="G2350">
        <v>4</v>
      </c>
      <c r="H2350" s="1">
        <v>5.6365740740740742E-3</v>
      </c>
      <c r="I2350" t="s">
        <v>27</v>
      </c>
      <c r="J2350" t="s">
        <v>7</v>
      </c>
      <c r="K2350" s="2" t="str">
        <f>HYPERLINK("https://www.nba.com/stats/events?CFID=&amp;CFPARAMS=&amp;GameEventID=445&amp;GameID=0041200232&amp;Season=2012-13&amp;flag=1&amp;title=Neal%2012'%20Pullup%20Jump%20Shot%20(6%20PTS)%20(Leonard%202%20AST)", "Neal 12' Pullup Jump Shot (6 PTS) (Leonard 2 AST)")</f>
        <v>Neal 12' Pullup Jump Shot (6 PTS) (Leonard 2 AST)</v>
      </c>
      <c r="L2350" s="2" t="str">
        <f>HYPERLINK("https://www.nba.com/game/...-vs-...-0041200232/play-by-play?watchFullGame=true", "SAS vs GSW - Q4 08:07.00")</f>
        <v>SAS vs GSW - Q4 08:07.00</v>
      </c>
      <c r="M2350">
        <v>12</v>
      </c>
      <c r="N2350">
        <v>99</v>
      </c>
      <c r="O2350">
        <v>74</v>
      </c>
      <c r="P2350">
        <v>99</v>
      </c>
      <c r="Q2350">
        <v>74</v>
      </c>
      <c r="R2350" t="s">
        <v>0</v>
      </c>
      <c r="S2350" t="s">
        <v>0</v>
      </c>
      <c r="T2350" t="s">
        <v>0</v>
      </c>
    </row>
    <row r="2351" spans="1:20" x14ac:dyDescent="0.25">
      <c r="A2351">
        <v>41300224</v>
      </c>
      <c r="B2351" t="s">
        <v>4</v>
      </c>
      <c r="C2351" t="s">
        <v>31</v>
      </c>
      <c r="D2351">
        <v>53</v>
      </c>
      <c r="E2351">
        <v>57</v>
      </c>
      <c r="F2351">
        <v>4</v>
      </c>
      <c r="G2351">
        <v>3</v>
      </c>
      <c r="H2351" s="1">
        <v>6.4120370370370373E-3</v>
      </c>
      <c r="I2351" t="s">
        <v>15</v>
      </c>
      <c r="J2351" t="s">
        <v>7</v>
      </c>
      <c r="K2351" s="2" t="str">
        <f>HYPERLINK("https://www.nba.com/stats/events?CFID=&amp;CFPARAMS=&amp;GameEventID=289&amp;GameID=0041300224&amp;Season=2013-14&amp;flag=1&amp;title=Splitter%202'%20Driving%20Reverse%20Layup%20(6%20PTS)%20(Leonard%203%20AST)", "Splitter 2' Driving Reverse Layup (6 PTS) (Leonard 3 AST)")</f>
        <v>Splitter 2' Driving Reverse Layup (6 PTS) (Leonard 3 AST)</v>
      </c>
      <c r="L2351" s="2" t="str">
        <f>HYPERLINK("https://www.nba.com/game/...-vs-...-0041300224/play-by-play?watchFullGame=true", "SAS vs POR - Q3 09:14.00")</f>
        <v>SAS vs POR - Q3 09:14.00</v>
      </c>
      <c r="M2351">
        <v>2</v>
      </c>
      <c r="N2351">
        <v>-19</v>
      </c>
      <c r="O2351">
        <v>4</v>
      </c>
      <c r="P2351">
        <v>-19</v>
      </c>
      <c r="Q2351">
        <v>4</v>
      </c>
      <c r="R2351" t="s">
        <v>0</v>
      </c>
      <c r="S2351" t="s">
        <v>0</v>
      </c>
      <c r="T2351" t="s">
        <v>0</v>
      </c>
    </row>
    <row r="2352" spans="1:20" x14ac:dyDescent="0.25">
      <c r="A2352">
        <v>41400164</v>
      </c>
      <c r="B2352" t="s">
        <v>4</v>
      </c>
      <c r="C2352" t="s">
        <v>5</v>
      </c>
      <c r="D2352">
        <v>60</v>
      </c>
      <c r="E2352">
        <v>63</v>
      </c>
      <c r="F2352">
        <v>3</v>
      </c>
      <c r="G2352">
        <v>3</v>
      </c>
      <c r="H2352" s="1">
        <v>4.5023148148148149E-3</v>
      </c>
      <c r="I2352" t="s">
        <v>13</v>
      </c>
      <c r="J2352" t="s">
        <v>7</v>
      </c>
      <c r="K2352" s="2" t="str">
        <f>HYPERLINK("https://www.nba.com/stats/events?CFID=&amp;CFPARAMS=&amp;GameEventID=310&amp;GameID=0041400164&amp;Season=2014-15&amp;flag=1&amp;title=Duncan%201'%20Layup%20(10%20PTS)%20(Leonard%205%20AST)", "Duncan 1' Layup (10 PTS) (Leonard 5 AST)")</f>
        <v>Duncan 1' Layup (10 PTS) (Leonard 5 AST)</v>
      </c>
      <c r="L2352" s="2" t="str">
        <f>HYPERLINK("https://www.nba.com/game/...-vs-...-0041400164/play-by-play?watchFullGame=true", "SAS vs LAC - Q3 06:29.00")</f>
        <v>SAS vs LAC - Q3 06:29.00</v>
      </c>
      <c r="M2352">
        <v>1</v>
      </c>
      <c r="N2352">
        <v>10</v>
      </c>
      <c r="O2352">
        <v>-3</v>
      </c>
      <c r="P2352">
        <v>10</v>
      </c>
      <c r="Q2352">
        <v>-3</v>
      </c>
      <c r="R2352" t="s">
        <v>0</v>
      </c>
      <c r="S2352" t="s">
        <v>0</v>
      </c>
      <c r="T2352" t="s">
        <v>0</v>
      </c>
    </row>
    <row r="2353" spans="1:20" x14ac:dyDescent="0.25">
      <c r="A2353">
        <v>41400166</v>
      </c>
      <c r="B2353" t="s">
        <v>10</v>
      </c>
      <c r="C2353" t="s">
        <v>9</v>
      </c>
      <c r="D2353">
        <v>93</v>
      </c>
      <c r="E2353">
        <v>96</v>
      </c>
      <c r="F2353">
        <v>3</v>
      </c>
      <c r="G2353">
        <v>4</v>
      </c>
      <c r="H2353" s="1">
        <v>9.1435185185185185E-4</v>
      </c>
      <c r="I2353" t="s">
        <v>13</v>
      </c>
      <c r="J2353" t="s">
        <v>7</v>
      </c>
      <c r="K2353" s="2" t="str">
        <f>HYPERLINK("https://www.nba.com/stats/events?CFID=&amp;CFPARAMS=&amp;GameEventID=531&amp;GameID=0041400166&amp;Season=2014-15&amp;flag=1&amp;title=Belinelli%2024'%203PT%20Jump%20Shot%20(20%20PTS)%20(Leonard%202%20AST)", "Belinelli 24' 3PT Jump Shot (20 PTS) (Leonard 2 AST)")</f>
        <v>Belinelli 24' 3PT Jump Shot (20 PTS) (Leonard 2 AST)</v>
      </c>
      <c r="L2353" s="2" t="str">
        <f>HYPERLINK("https://www.nba.com/game/...-vs-...-0041400166/play-by-play?watchFullGame=true", "SAS vs LAC - Q4 01:19.00")</f>
        <v>SAS vs LAC - Q4 01:19.00</v>
      </c>
      <c r="M2353">
        <v>24</v>
      </c>
      <c r="N2353">
        <v>198</v>
      </c>
      <c r="O2353">
        <v>140</v>
      </c>
      <c r="P2353">
        <v>198</v>
      </c>
      <c r="Q2353">
        <v>140</v>
      </c>
      <c r="R2353" t="s">
        <v>0</v>
      </c>
      <c r="S2353" t="s">
        <v>0</v>
      </c>
      <c r="T2353" t="s">
        <v>0</v>
      </c>
    </row>
    <row r="2354" spans="1:20" x14ac:dyDescent="0.25">
      <c r="A2354">
        <v>41600153</v>
      </c>
      <c r="B2354" t="s">
        <v>4</v>
      </c>
      <c r="C2354" t="s">
        <v>33</v>
      </c>
      <c r="D2354">
        <v>35</v>
      </c>
      <c r="E2354">
        <v>36</v>
      </c>
      <c r="F2354">
        <v>1</v>
      </c>
      <c r="G2354">
        <v>2</v>
      </c>
      <c r="H2354" s="1">
        <v>3.9583333333333337E-3</v>
      </c>
      <c r="I2354" t="s">
        <v>8</v>
      </c>
      <c r="J2354" t="s">
        <v>7</v>
      </c>
      <c r="K2354" s="2" t="str">
        <f>HYPERLINK("https://www.nba.com/stats/events?CFID=&amp;CFPARAMS=&amp;GameEventID=165&amp;GameID=0041600153&amp;Season=2016-17&amp;flag=1&amp;title=Anderson%208'%20Driving%20Floating%20Bank%20Jump%20Shot%20(5%20PTS)%20(Leonard%202%20AST)", "Anderson 8' Driving Floating Bank Jump Shot (5 PTS) (Leonard 2 AST)")</f>
        <v>Anderson 8' Driving Floating Bank Jump Shot (5 PTS) (Leonard 2 AST)</v>
      </c>
      <c r="L2354" s="2" t="str">
        <f>HYPERLINK("https://www.nba.com/game/...-vs-...-0041600153/play-by-play?watchFullGame=true", "SAS vs MEM - Q2 05:42.00")</f>
        <v>SAS vs MEM - Q2 05:42.00</v>
      </c>
      <c r="M2354">
        <v>8</v>
      </c>
      <c r="N2354">
        <v>63</v>
      </c>
      <c r="O2354">
        <v>41</v>
      </c>
      <c r="P2354">
        <v>63</v>
      </c>
      <c r="Q2354">
        <v>41</v>
      </c>
      <c r="R2354" t="s">
        <v>0</v>
      </c>
      <c r="S2354" t="s">
        <v>0</v>
      </c>
      <c r="T2354" t="s">
        <v>0</v>
      </c>
    </row>
    <row r="2355" spans="1:20" x14ac:dyDescent="0.25">
      <c r="A2355">
        <v>41600155</v>
      </c>
      <c r="B2355" t="s">
        <v>4</v>
      </c>
      <c r="C2355" t="s">
        <v>38</v>
      </c>
      <c r="D2355">
        <v>89</v>
      </c>
      <c r="E2355">
        <v>83</v>
      </c>
      <c r="F2355">
        <v>6</v>
      </c>
      <c r="G2355">
        <v>4</v>
      </c>
      <c r="H2355" s="1">
        <v>6.2384259259259259E-3</v>
      </c>
      <c r="I2355" t="s">
        <v>8</v>
      </c>
      <c r="J2355" t="s">
        <v>7</v>
      </c>
      <c r="K2355" s="2" t="str">
        <f>HYPERLINK("https://www.nba.com/stats/events?CFID=&amp;CFPARAMS=&amp;GameEventID=390&amp;GameID=0041600155&amp;Season=2016-17&amp;flag=1&amp;title=Lee%20%20Dunk%20(8%20PTS)%20(Leonard%206%20AST)", "Lee  Dunk (8 PTS) (Leonard 6 AST)")</f>
        <v>Lee  Dunk (8 PTS) (Leonard 6 AST)</v>
      </c>
      <c r="L2355" s="2" t="str">
        <f>HYPERLINK("https://www.nba.com/game/...-vs-...-0041600155/play-by-play?watchFullGame=true", "SAS vs MEM - Q4 08:59.00")</f>
        <v>SAS vs MEM - Q4 08:59.00</v>
      </c>
      <c r="M2355">
        <v>0</v>
      </c>
      <c r="N2355">
        <v>0</v>
      </c>
      <c r="O2355">
        <v>1</v>
      </c>
      <c r="P2355">
        <v>0</v>
      </c>
      <c r="Q2355">
        <v>1</v>
      </c>
      <c r="R2355" t="s">
        <v>0</v>
      </c>
      <c r="S2355" t="s">
        <v>0</v>
      </c>
      <c r="T2355" t="s">
        <v>0</v>
      </c>
    </row>
    <row r="2356" spans="1:20" x14ac:dyDescent="0.25">
      <c r="A2356">
        <v>41600156</v>
      </c>
      <c r="B2356" t="s">
        <v>4</v>
      </c>
      <c r="C2356" t="s">
        <v>5</v>
      </c>
      <c r="D2356">
        <v>102</v>
      </c>
      <c r="E2356">
        <v>96</v>
      </c>
      <c r="F2356">
        <v>6</v>
      </c>
      <c r="G2356">
        <v>4</v>
      </c>
      <c r="H2356" s="1">
        <v>2.6851851851851852E-4</v>
      </c>
      <c r="I2356" t="s">
        <v>8</v>
      </c>
      <c r="J2356" t="s">
        <v>7</v>
      </c>
      <c r="K2356" s="2" t="str">
        <f>HYPERLINK("https://www.nba.com/stats/events?CFID=&amp;CFPARAMS=&amp;GameEventID=485&amp;GameID=0041600156&amp;Season=2016-17&amp;flag=1&amp;title=Parker%201'%20Layup%20(27%20PTS)%20(Leonard%204%20AST)", "Parker 1' Layup (27 PTS) (Leonard 4 AST)")</f>
        <v>Parker 1' Layup (27 PTS) (Leonard 4 AST)</v>
      </c>
      <c r="L2356" s="2" t="str">
        <f>HYPERLINK("https://www.nba.com/game/...-vs-...-0041600156/play-by-play?watchFullGame=true", "SAS vs MEM - Q4 00:23.20")</f>
        <v>SAS vs MEM - Q4 00:23.20</v>
      </c>
      <c r="M2356">
        <v>1</v>
      </c>
      <c r="N2356">
        <v>0</v>
      </c>
      <c r="O2356">
        <v>8</v>
      </c>
      <c r="P2356">
        <v>0</v>
      </c>
      <c r="Q2356">
        <v>8</v>
      </c>
      <c r="R2356" t="s">
        <v>0</v>
      </c>
      <c r="S2356" t="s">
        <v>0</v>
      </c>
      <c r="T2356" t="s">
        <v>0</v>
      </c>
    </row>
    <row r="2357" spans="1:20" x14ac:dyDescent="0.25">
      <c r="A2357">
        <v>41800112</v>
      </c>
      <c r="B2357" t="s">
        <v>10</v>
      </c>
      <c r="C2357" t="s">
        <v>9</v>
      </c>
      <c r="D2357">
        <v>57</v>
      </c>
      <c r="E2357">
        <v>41</v>
      </c>
      <c r="F2357">
        <v>16</v>
      </c>
      <c r="G2357">
        <v>3</v>
      </c>
      <c r="H2357" s="1">
        <v>7.5810185185185182E-3</v>
      </c>
      <c r="I2357" t="s">
        <v>2</v>
      </c>
      <c r="J2357" t="s">
        <v>1</v>
      </c>
      <c r="K2357" s="2" t="str">
        <f>HYPERLINK("https://www.nba.com/stats/events?CFID=&amp;CFPARAMS=&amp;GameEventID=346&amp;GameID=0041800112&amp;Season=2018-19&amp;flag=1&amp;title=Gasol%2025'%203PT%20Jump%20Shot%20(3%20PTS)%20(Leonard%204%20AST)", "Gasol 25' 3PT Jump Shot (3 PTS) (Leonard 4 AST)")</f>
        <v>Gasol 25' 3PT Jump Shot (3 PTS) (Leonard 4 AST)</v>
      </c>
      <c r="L2357" s="2" t="str">
        <f>HYPERLINK("https://www.nba.com/game/...-vs-...-0041800112/play-by-play?watchFullGame=true", "TOR vs ORL - Q3 10:55.00")</f>
        <v>TOR vs ORL - Q3 10:55.00</v>
      </c>
      <c r="M2357">
        <v>25</v>
      </c>
      <c r="N2357">
        <v>-184</v>
      </c>
      <c r="O2357">
        <v>164</v>
      </c>
      <c r="P2357">
        <v>-184</v>
      </c>
      <c r="Q2357">
        <v>164</v>
      </c>
      <c r="R2357" t="s">
        <v>0</v>
      </c>
      <c r="S2357" t="s">
        <v>0</v>
      </c>
      <c r="T2357" t="s">
        <v>0</v>
      </c>
    </row>
    <row r="2358" spans="1:20" x14ac:dyDescent="0.25">
      <c r="A2358">
        <v>41800114</v>
      </c>
      <c r="B2358" t="s">
        <v>10</v>
      </c>
      <c r="C2358" t="s">
        <v>9</v>
      </c>
      <c r="D2358">
        <v>63</v>
      </c>
      <c r="E2358">
        <v>46</v>
      </c>
      <c r="F2358">
        <v>17</v>
      </c>
      <c r="G2358">
        <v>3</v>
      </c>
      <c r="H2358" s="1">
        <v>6.2037037037037035E-3</v>
      </c>
      <c r="I2358" t="s">
        <v>2</v>
      </c>
      <c r="J2358" t="s">
        <v>1</v>
      </c>
      <c r="K2358" s="2" t="str">
        <f>HYPERLINK("https://www.nba.com/stats/events?CFID=&amp;CFPARAMS=&amp;GameEventID=325&amp;GameID=0041800114&amp;Season=2018-19&amp;flag=1&amp;title=Lowry%2026'%203PT%20Jump%20Shot%20(9%20PTS)%20(Leonard%202%20AST)", "Lowry 26' 3PT Jump Shot (9 PTS) (Leonard 2 AST)")</f>
        <v>Lowry 26' 3PT Jump Shot (9 PTS) (Leonard 2 AST)</v>
      </c>
      <c r="L2358" s="2" t="str">
        <f>HYPERLINK("https://www.nba.com/game/...-vs-...-0041800114/play-by-play?watchFullGame=true", "TOR vs ORL - Q3 08:56.00")</f>
        <v>TOR vs ORL - Q3 08:56.00</v>
      </c>
      <c r="M2358">
        <v>26</v>
      </c>
      <c r="N2358">
        <v>191</v>
      </c>
      <c r="O2358">
        <v>180</v>
      </c>
      <c r="P2358">
        <v>191</v>
      </c>
      <c r="Q2358">
        <v>180</v>
      </c>
      <c r="R2358" t="s">
        <v>0</v>
      </c>
      <c r="S2358" t="s">
        <v>0</v>
      </c>
      <c r="T2358" t="s">
        <v>0</v>
      </c>
    </row>
    <row r="2359" spans="1:20" x14ac:dyDescent="0.25">
      <c r="A2359">
        <v>41800216</v>
      </c>
      <c r="B2359" t="s">
        <v>4</v>
      </c>
      <c r="C2359" t="s">
        <v>38</v>
      </c>
      <c r="D2359">
        <v>29</v>
      </c>
      <c r="E2359">
        <v>42</v>
      </c>
      <c r="F2359">
        <v>13</v>
      </c>
      <c r="G2359">
        <v>2</v>
      </c>
      <c r="H2359" s="1">
        <v>5.2662037037037035E-3</v>
      </c>
      <c r="I2359" t="s">
        <v>2</v>
      </c>
      <c r="J2359" t="s">
        <v>1</v>
      </c>
      <c r="K2359" s="2" t="str">
        <f>HYPERLINK("https://www.nba.com/stats/events?CFID=&amp;CFPARAMS=&amp;GameEventID=214&amp;GameID=0041800216&amp;Season=2018-19&amp;flag=1&amp;title=Ibaka%202'%20Dunk%20(5%20PTS)%20(Leonard%201%20AST)", "Ibaka 2' Dunk (5 PTS) (Leonard 1 AST)")</f>
        <v>Ibaka 2' Dunk (5 PTS) (Leonard 1 AST)</v>
      </c>
      <c r="L2359" s="2" t="str">
        <f>HYPERLINK("https://www.nba.com/game/...-vs-...-0041800216/play-by-play?watchFullGame=true", "TOR vs PHI - Q2 07:35.00")</f>
        <v>TOR vs PHI - Q2 07:35.00</v>
      </c>
      <c r="M2359">
        <v>2</v>
      </c>
      <c r="N2359">
        <v>13</v>
      </c>
      <c r="O2359">
        <v>15</v>
      </c>
      <c r="P2359">
        <v>13</v>
      </c>
      <c r="Q2359">
        <v>15</v>
      </c>
      <c r="R2359" t="s">
        <v>0</v>
      </c>
      <c r="S2359" t="s">
        <v>0</v>
      </c>
      <c r="T2359" t="s">
        <v>0</v>
      </c>
    </row>
    <row r="2360" spans="1:20" x14ac:dyDescent="0.25">
      <c r="A2360">
        <v>41800216</v>
      </c>
      <c r="B2360" t="s">
        <v>4</v>
      </c>
      <c r="C2360" t="s">
        <v>17</v>
      </c>
      <c r="D2360">
        <v>56</v>
      </c>
      <c r="E2360">
        <v>69</v>
      </c>
      <c r="F2360">
        <v>13</v>
      </c>
      <c r="G2360">
        <v>3</v>
      </c>
      <c r="H2360" s="1">
        <v>4.5601851851851853E-3</v>
      </c>
      <c r="I2360" t="s">
        <v>2</v>
      </c>
      <c r="J2360" t="s">
        <v>1</v>
      </c>
      <c r="K2360" s="2" t="str">
        <f>HYPERLINK("https://www.nba.com/stats/events?CFID=&amp;CFPARAMS=&amp;GameEventID=380&amp;GameID=0041800216&amp;Season=2018-19&amp;flag=1&amp;title=Siakam%2020'%20Floating%20Jump%20Shot%20(17%20PTS)%20(Leonard%203%20AST)", "Siakam 20' Floating Jump Shot (17 PTS) (Leonard 3 AST)")</f>
        <v>Siakam 20' Floating Jump Shot (17 PTS) (Leonard 3 AST)</v>
      </c>
      <c r="L2360" s="2" t="str">
        <f>HYPERLINK("https://www.nba.com/game/...-vs-...-0041800216/play-by-play?watchFullGame=true", "TOR vs PHI - Q3 06:34.00")</f>
        <v>TOR vs PHI - Q3 06:34.00</v>
      </c>
      <c r="M2360">
        <v>20</v>
      </c>
      <c r="N2360">
        <v>11</v>
      </c>
      <c r="O2360">
        <v>200</v>
      </c>
      <c r="P2360">
        <v>11</v>
      </c>
      <c r="Q2360">
        <v>200</v>
      </c>
      <c r="R2360" t="s">
        <v>0</v>
      </c>
      <c r="S2360" t="s">
        <v>0</v>
      </c>
      <c r="T2360" t="s">
        <v>0</v>
      </c>
    </row>
    <row r="2361" spans="1:20" x14ac:dyDescent="0.25">
      <c r="A2361">
        <v>41800305</v>
      </c>
      <c r="B2361" t="s">
        <v>10</v>
      </c>
      <c r="C2361" t="s">
        <v>9</v>
      </c>
      <c r="D2361">
        <v>92</v>
      </c>
      <c r="E2361">
        <v>85</v>
      </c>
      <c r="F2361">
        <v>7</v>
      </c>
      <c r="G2361">
        <v>4</v>
      </c>
      <c r="H2361" s="1">
        <v>3.4027777777777776E-3</v>
      </c>
      <c r="I2361" t="s">
        <v>2</v>
      </c>
      <c r="J2361" t="s">
        <v>1</v>
      </c>
      <c r="K2361" s="2" t="str">
        <f>HYPERLINK("https://www.nba.com/stats/events?CFID=&amp;CFPARAMS=&amp;GameEventID=577&amp;GameID=0041800305&amp;Season=2018-19&amp;flag=1&amp;title=Gasol%2028'%203PT%20Jump%20Shot%20(3%20PTS)%20(Leonard%208%20AST)", "Gasol 28' 3PT Jump Shot (3 PTS) (Leonard 8 AST)")</f>
        <v>Gasol 28' 3PT Jump Shot (3 PTS) (Leonard 8 AST)</v>
      </c>
      <c r="L2361" s="2" t="str">
        <f>HYPERLINK("https://www.nba.com/game/...-vs-...-0041800305/play-by-play?watchFullGame=true", "TOR vs MIL - Q4 04:54.00")</f>
        <v>TOR vs MIL - Q4 04:54.00</v>
      </c>
      <c r="M2361">
        <v>28</v>
      </c>
      <c r="N2361">
        <v>-163</v>
      </c>
      <c r="O2361">
        <v>225</v>
      </c>
      <c r="P2361">
        <v>-163</v>
      </c>
      <c r="Q2361">
        <v>225</v>
      </c>
      <c r="R2361" t="s">
        <v>0</v>
      </c>
      <c r="S2361" t="s">
        <v>0</v>
      </c>
      <c r="T2361" t="s">
        <v>0</v>
      </c>
    </row>
    <row r="2362" spans="1:20" x14ac:dyDescent="0.25">
      <c r="A2362">
        <v>41500153</v>
      </c>
      <c r="B2362" t="s">
        <v>4</v>
      </c>
      <c r="C2362" t="s">
        <v>9</v>
      </c>
      <c r="D2362">
        <v>31</v>
      </c>
      <c r="E2362">
        <v>21</v>
      </c>
      <c r="F2362">
        <v>10</v>
      </c>
      <c r="G2362">
        <v>2</v>
      </c>
      <c r="H2362" s="1">
        <v>7.5231481481481477E-3</v>
      </c>
      <c r="I2362" t="s">
        <v>11</v>
      </c>
      <c r="J2362" t="s">
        <v>7</v>
      </c>
      <c r="K2362" s="2" t="str">
        <f>HYPERLINK("https://www.nba.com/stats/events?CFID=&amp;CFPARAMS=&amp;GameEventID=113&amp;GameID=0041500153&amp;Season=2015-16&amp;flag=1&amp;title=Diaw%2016'%20Jump%20Shot%20(4%20PTS)%20(Leonard%201%20AST)", "Diaw 16' Jump Shot (4 PTS) (Leonard 1 AST)")</f>
        <v>Diaw 16' Jump Shot (4 PTS) (Leonard 1 AST)</v>
      </c>
      <c r="L2362" s="2" t="str">
        <f>HYPERLINK("https://www.nba.com/game/...-vs-...-0041500153/play-by-play?watchFullGame=true", "SAS vs MEM - Q2 10:50.00")</f>
        <v>SAS vs MEM - Q2 10:50.00</v>
      </c>
      <c r="M2362">
        <v>16</v>
      </c>
      <c r="N2362">
        <v>-160</v>
      </c>
      <c r="O2362">
        <v>-16</v>
      </c>
      <c r="P2362">
        <v>-160</v>
      </c>
      <c r="Q2362">
        <v>-16</v>
      </c>
      <c r="R2362" t="s">
        <v>0</v>
      </c>
      <c r="S2362" t="s">
        <v>0</v>
      </c>
      <c r="T2362" t="s">
        <v>0</v>
      </c>
    </row>
    <row r="2363" spans="1:20" x14ac:dyDescent="0.25">
      <c r="A2363">
        <v>41600151</v>
      </c>
      <c r="B2363" t="s">
        <v>4</v>
      </c>
      <c r="C2363" t="s">
        <v>38</v>
      </c>
      <c r="D2363">
        <v>38</v>
      </c>
      <c r="E2363">
        <v>38</v>
      </c>
      <c r="F2363">
        <v>0</v>
      </c>
      <c r="G2363">
        <v>2</v>
      </c>
      <c r="H2363" s="1">
        <v>3.5416666666666665E-3</v>
      </c>
      <c r="I2363" t="s">
        <v>8</v>
      </c>
      <c r="J2363" t="s">
        <v>7</v>
      </c>
      <c r="K2363" s="2" t="str">
        <f>HYPERLINK("https://www.nba.com/stats/events?CFID=&amp;CFPARAMS=&amp;GameEventID=170&amp;GameID=0041600151&amp;Season=2016-17&amp;flag=1&amp;title=Aldridge%20%20Dunk%20(6%20PTS)%20(Leonard%203%20AST)", "Aldridge  Dunk (6 PTS) (Leonard 3 AST)")</f>
        <v>Aldridge  Dunk (6 PTS) (Leonard 3 AST)</v>
      </c>
      <c r="L2363" s="2" t="str">
        <f>HYPERLINK("https://www.nba.com/game/...-vs-...-0041600151/play-by-play?watchFullGame=true", "SAS vs MEM - Q2 05:06.00")</f>
        <v>SAS vs MEM - Q2 05:06.00</v>
      </c>
      <c r="M2363">
        <v>0</v>
      </c>
      <c r="N2363">
        <v>0</v>
      </c>
      <c r="O2363">
        <v>1</v>
      </c>
      <c r="P2363">
        <v>0</v>
      </c>
      <c r="Q2363">
        <v>1</v>
      </c>
      <c r="R2363" t="s">
        <v>0</v>
      </c>
      <c r="S2363" t="s">
        <v>0</v>
      </c>
      <c r="T2363" t="s">
        <v>0</v>
      </c>
    </row>
    <row r="2364" spans="1:20" x14ac:dyDescent="0.25">
      <c r="A2364">
        <v>41800113</v>
      </c>
      <c r="B2364" t="s">
        <v>4</v>
      </c>
      <c r="C2364" t="s">
        <v>29</v>
      </c>
      <c r="D2364">
        <v>5</v>
      </c>
      <c r="E2364">
        <v>0</v>
      </c>
      <c r="F2364">
        <v>5</v>
      </c>
      <c r="G2364">
        <v>1</v>
      </c>
      <c r="H2364" s="1">
        <v>7.4421296296296293E-3</v>
      </c>
      <c r="I2364" t="s">
        <v>2</v>
      </c>
      <c r="J2364" t="s">
        <v>1</v>
      </c>
      <c r="K2364" s="2" t="str">
        <f>HYPERLINK("https://www.nba.com/stats/events?CFID=&amp;CFPARAMS=&amp;GameEventID=17&amp;GameID=0041800113&amp;Season=2018-19&amp;flag=1&amp;title=Gasol%2014'%20Driving%20Floating%20Jump%20Shot%20(2%20PTS)%20(Leonard%201%20AST)", "Gasol 14' Driving Floating Jump Shot (2 PTS) (Leonard 1 AST)")</f>
        <v>Gasol 14' Driving Floating Jump Shot (2 PTS) (Leonard 1 AST)</v>
      </c>
      <c r="L2364" s="2" t="str">
        <f>HYPERLINK("https://www.nba.com/game/...-vs-...-0041800113/play-by-play?watchFullGame=true", "TOR vs ORL - Q1 10:43.00")</f>
        <v>TOR vs ORL - Q1 10:43.00</v>
      </c>
      <c r="M2364">
        <v>14</v>
      </c>
      <c r="N2364">
        <v>-90</v>
      </c>
      <c r="O2364">
        <v>101</v>
      </c>
      <c r="P2364">
        <v>-90</v>
      </c>
      <c r="Q2364">
        <v>101</v>
      </c>
      <c r="R2364" t="s">
        <v>0</v>
      </c>
      <c r="S2364" t="s">
        <v>0</v>
      </c>
      <c r="T2364" t="s">
        <v>0</v>
      </c>
    </row>
    <row r="2365" spans="1:20" x14ac:dyDescent="0.25">
      <c r="A2365">
        <v>41800303</v>
      </c>
      <c r="B2365" t="s">
        <v>4</v>
      </c>
      <c r="C2365" t="s">
        <v>20</v>
      </c>
      <c r="D2365">
        <v>43</v>
      </c>
      <c r="E2365">
        <v>35</v>
      </c>
      <c r="F2365">
        <v>8</v>
      </c>
      <c r="G2365">
        <v>2</v>
      </c>
      <c r="H2365" s="1">
        <v>3.6111111111111109E-3</v>
      </c>
      <c r="I2365" t="s">
        <v>2</v>
      </c>
      <c r="J2365" t="s">
        <v>1</v>
      </c>
      <c r="K2365" s="2" t="str">
        <f>HYPERLINK("https://www.nba.com/stats/events?CFID=&amp;CFPARAMS=&amp;GameEventID=285&amp;GameID=0041800303&amp;Season=2018-19&amp;flag=1&amp;title=Siakam%201'%20Cutting%20Layup%20Shot%20(10%20PTS)%20(Leonard%203%20AST)", "Siakam 1' Cutting Layup Shot (10 PTS) (Leonard 3 AST)")</f>
        <v>Siakam 1' Cutting Layup Shot (10 PTS) (Leonard 3 AST)</v>
      </c>
      <c r="L2365" s="2" t="str">
        <f>HYPERLINK("https://www.nba.com/game/...-vs-...-0041800303/play-by-play?watchFullGame=true", "TOR vs MIL - Q2 05:12.00")</f>
        <v>TOR vs MIL - Q2 05:12.00</v>
      </c>
      <c r="M2365">
        <v>1</v>
      </c>
      <c r="N2365">
        <v>12</v>
      </c>
      <c r="O2365">
        <v>-7</v>
      </c>
      <c r="P2365">
        <v>12</v>
      </c>
      <c r="Q2365">
        <v>-7</v>
      </c>
      <c r="R2365" t="s">
        <v>0</v>
      </c>
      <c r="S2365" t="s">
        <v>0</v>
      </c>
      <c r="T2365" t="s">
        <v>0</v>
      </c>
    </row>
    <row r="2366" spans="1:20" x14ac:dyDescent="0.25">
      <c r="A2366">
        <v>41800303</v>
      </c>
      <c r="B2366" t="s">
        <v>10</v>
      </c>
      <c r="C2366" t="s">
        <v>9</v>
      </c>
      <c r="D2366">
        <v>39</v>
      </c>
      <c r="E2366">
        <v>33</v>
      </c>
      <c r="F2366">
        <v>6</v>
      </c>
      <c r="G2366">
        <v>2</v>
      </c>
      <c r="H2366" s="1">
        <v>4.4675925925925924E-3</v>
      </c>
      <c r="I2366" t="s">
        <v>2</v>
      </c>
      <c r="J2366" t="s">
        <v>1</v>
      </c>
      <c r="K2366" s="2" t="str">
        <f>HYPERLINK("https://www.nba.com/stats/events?CFID=&amp;CFPARAMS=&amp;GameEventID=261&amp;GameID=0041800303&amp;Season=2018-19&amp;flag=1&amp;title=Lowry%2028'%203PT%20Jump%20Shot%20(3%20PTS)%20(Leonard%202%20AST)", "Lowry 28' 3PT Jump Shot (3 PTS) (Leonard 2 AST)")</f>
        <v>Lowry 28' 3PT Jump Shot (3 PTS) (Leonard 2 AST)</v>
      </c>
      <c r="L2366" s="2" t="str">
        <f>HYPERLINK("https://www.nba.com/game/...-vs-...-0041800303/play-by-play?watchFullGame=true", "TOR vs MIL - Q2 06:26.00")</f>
        <v>TOR vs MIL - Q2 06:26.00</v>
      </c>
      <c r="M2366">
        <v>28</v>
      </c>
      <c r="N2366">
        <v>28</v>
      </c>
      <c r="O2366">
        <v>281</v>
      </c>
      <c r="P2366">
        <v>28</v>
      </c>
      <c r="Q2366">
        <v>281</v>
      </c>
      <c r="R2366" t="s">
        <v>0</v>
      </c>
      <c r="S2366" t="s">
        <v>0</v>
      </c>
      <c r="T2366" t="s">
        <v>0</v>
      </c>
    </row>
    <row r="2367" spans="1:20" x14ac:dyDescent="0.25">
      <c r="A2367">
        <v>41800401</v>
      </c>
      <c r="B2367" t="s">
        <v>4</v>
      </c>
      <c r="C2367" t="s">
        <v>43</v>
      </c>
      <c r="D2367">
        <v>110</v>
      </c>
      <c r="E2367">
        <v>98</v>
      </c>
      <c r="F2367">
        <v>12</v>
      </c>
      <c r="G2367">
        <v>4</v>
      </c>
      <c r="H2367" s="1">
        <v>2.3263888888888887E-3</v>
      </c>
      <c r="I2367" t="s">
        <v>2</v>
      </c>
      <c r="J2367" t="s">
        <v>1</v>
      </c>
      <c r="K2367" s="2" t="str">
        <f>HYPERLINK("https://www.nba.com/stats/events?CFID=&amp;CFPARAMS=&amp;GameEventID=628&amp;GameID=0041800401&amp;Season=2018-19&amp;flag=1&amp;title=VanVleet%2020'%20Turnaround%20Fadeaway%20Bank%20Jump%20Shot%20(13%20PTS)%20(Leonard%205%20AST)", "VanVleet 20' Turnaround Fadeaway Bank Jump Shot (13 PTS) (Leonard 5 AST)")</f>
        <v>VanVleet 20' Turnaround Fadeaway Bank Jump Shot (13 PTS) (Leonard 5 AST)</v>
      </c>
      <c r="L2367" s="2" t="str">
        <f>HYPERLINK("https://www.nba.com/game/...-vs-...-0041800401/play-by-play?watchFullGame=true", "TOR vs GSW - Q4 03:21.00")</f>
        <v>TOR vs GSW - Q4 03:21.00</v>
      </c>
      <c r="M2367">
        <v>20</v>
      </c>
      <c r="N2367">
        <v>-200</v>
      </c>
      <c r="O2367">
        <v>26</v>
      </c>
      <c r="P2367">
        <v>-200</v>
      </c>
      <c r="Q2367">
        <v>26</v>
      </c>
      <c r="R2367" t="s">
        <v>0</v>
      </c>
      <c r="S2367" t="s">
        <v>0</v>
      </c>
      <c r="T2367" t="s">
        <v>0</v>
      </c>
    </row>
    <row r="2368" spans="1:20" x14ac:dyDescent="0.25">
      <c r="A2368">
        <v>41800306</v>
      </c>
      <c r="B2368" t="s">
        <v>10</v>
      </c>
      <c r="C2368" t="s">
        <v>9</v>
      </c>
      <c r="D2368">
        <v>21</v>
      </c>
      <c r="E2368">
        <v>33</v>
      </c>
      <c r="F2368">
        <v>12</v>
      </c>
      <c r="G2368">
        <v>2</v>
      </c>
      <c r="H2368" s="1">
        <v>7.8472222222222224E-3</v>
      </c>
      <c r="I2368" t="s">
        <v>2</v>
      </c>
      <c r="J2368" t="s">
        <v>1</v>
      </c>
      <c r="K2368" s="2" t="str">
        <f>HYPERLINK("https://www.nba.com/stats/events?CFID=&amp;CFPARAMS=&amp;GameEventID=162&amp;GameID=0041800306&amp;Season=2018-19&amp;flag=1&amp;title=VanVleet%2029'%203PT%20Jump%20Shot%20(3%20PTS)%20(Leonard%201%20AST)", "VanVleet 29' 3PT Jump Shot (3 PTS) (Leonard 1 AST)")</f>
        <v>VanVleet 29' 3PT Jump Shot (3 PTS) (Leonard 1 AST)</v>
      </c>
      <c r="L2368" s="2" t="str">
        <f>HYPERLINK("https://www.nba.com/game/...-vs-...-0041800306/play-by-play?watchFullGame=true", "TOR vs MIL - Q2 11:18.00")</f>
        <v>TOR vs MIL - Q2 11:18.00</v>
      </c>
      <c r="M2368">
        <v>29</v>
      </c>
      <c r="N2368">
        <v>197</v>
      </c>
      <c r="O2368">
        <v>211</v>
      </c>
      <c r="P2368">
        <v>197</v>
      </c>
      <c r="Q2368">
        <v>211</v>
      </c>
      <c r="R2368" t="s">
        <v>0</v>
      </c>
      <c r="S2368" t="s">
        <v>0</v>
      </c>
      <c r="T2368" t="s">
        <v>0</v>
      </c>
    </row>
    <row r="2369" spans="1:20" x14ac:dyDescent="0.25">
      <c r="A2369">
        <v>41800405</v>
      </c>
      <c r="B2369" t="s">
        <v>4</v>
      </c>
      <c r="C2369" t="s">
        <v>30</v>
      </c>
      <c r="D2369">
        <v>2</v>
      </c>
      <c r="E2369">
        <v>3</v>
      </c>
      <c r="F2369">
        <v>1</v>
      </c>
      <c r="G2369">
        <v>1</v>
      </c>
      <c r="H2369" s="1">
        <v>7.8240740740740736E-3</v>
      </c>
      <c r="I2369" t="s">
        <v>2</v>
      </c>
      <c r="J2369" t="s">
        <v>1</v>
      </c>
      <c r="K2369" s="2" t="str">
        <f>HYPERLINK("https://www.nba.com/stats/events?CFID=&amp;CFPARAMS=&amp;GameEventID=10&amp;GameID=0041800405&amp;Season=2018-19&amp;flag=1&amp;title=Gasol%206'%20Turnaround%20Fadeaway%20(2%20PTS)%20(Leonard%201%20AST)", "Gasol 6' Turnaround Fadeaway (2 PTS) (Leonard 1 AST)")</f>
        <v>Gasol 6' Turnaround Fadeaway (2 PTS) (Leonard 1 AST)</v>
      </c>
      <c r="L2369" s="2" t="str">
        <f>HYPERLINK("https://www.nba.com/game/...-vs-...-0041800405/play-by-play?watchFullGame=true", "TOR vs GSW - Q1 11:16.00")</f>
        <v>TOR vs GSW - Q1 11:16.00</v>
      </c>
      <c r="M2369">
        <v>6</v>
      </c>
      <c r="N2369">
        <v>21</v>
      </c>
      <c r="O2369">
        <v>54</v>
      </c>
      <c r="P2369">
        <v>21</v>
      </c>
      <c r="Q2369">
        <v>54</v>
      </c>
      <c r="R2369" t="s">
        <v>0</v>
      </c>
      <c r="S2369" t="s">
        <v>0</v>
      </c>
      <c r="T2369" t="s">
        <v>0</v>
      </c>
    </row>
    <row r="2370" spans="1:20" x14ac:dyDescent="0.25">
      <c r="A2370">
        <v>41300312</v>
      </c>
      <c r="B2370" t="s">
        <v>4</v>
      </c>
      <c r="C2370" t="s">
        <v>9</v>
      </c>
      <c r="D2370">
        <v>62</v>
      </c>
      <c r="E2370">
        <v>48</v>
      </c>
      <c r="F2370">
        <v>14</v>
      </c>
      <c r="G2370">
        <v>3</v>
      </c>
      <c r="H2370" s="1">
        <v>7.2106481481481483E-3</v>
      </c>
      <c r="I2370" t="s">
        <v>15</v>
      </c>
      <c r="J2370" t="s">
        <v>7</v>
      </c>
      <c r="K2370" s="2" t="str">
        <f>HYPERLINK("https://www.nba.com/stats/events?CFID=&amp;CFPARAMS=&amp;GameEventID=303&amp;GameID=0041300312&amp;Season=2013-14&amp;flag=1&amp;title=Duncan%2017'%20Jump%20Shot%20(8%20PTS)%20(Leonard%204%20AST)", "Duncan 17' Jump Shot (8 PTS) (Leonard 4 AST)")</f>
        <v>Duncan 17' Jump Shot (8 PTS) (Leonard 4 AST)</v>
      </c>
      <c r="L2370" s="2" t="str">
        <f>HYPERLINK("https://www.nba.com/game/...-vs-...-0041300312/play-by-play?watchFullGame=true", "SAS vs OKC - Q3 10:23.00")</f>
        <v>SAS vs OKC - Q3 10:23.00</v>
      </c>
      <c r="M2370">
        <v>17</v>
      </c>
      <c r="N2370">
        <v>-95</v>
      </c>
      <c r="O2370">
        <v>140</v>
      </c>
      <c r="P2370">
        <v>-95</v>
      </c>
      <c r="Q2370">
        <v>140</v>
      </c>
      <c r="R2370" t="s">
        <v>0</v>
      </c>
      <c r="S2370" t="s">
        <v>0</v>
      </c>
      <c r="T2370" t="s">
        <v>0</v>
      </c>
    </row>
    <row r="2371" spans="1:20" x14ac:dyDescent="0.25">
      <c r="A2371">
        <v>41600233</v>
      </c>
      <c r="B2371" t="s">
        <v>4</v>
      </c>
      <c r="C2371" t="s">
        <v>30</v>
      </c>
      <c r="D2371">
        <v>13</v>
      </c>
      <c r="E2371">
        <v>7</v>
      </c>
      <c r="F2371">
        <v>6</v>
      </c>
      <c r="G2371">
        <v>1</v>
      </c>
      <c r="H2371" s="1">
        <v>4.8032407407407407E-3</v>
      </c>
      <c r="I2371" t="s">
        <v>8</v>
      </c>
      <c r="J2371" t="s">
        <v>7</v>
      </c>
      <c r="K2371" s="2" t="str">
        <f>HYPERLINK("https://www.nba.com/stats/events?CFID=&amp;CFPARAMS=&amp;GameEventID=62&amp;GameID=0041600233&amp;Season=2016-17&amp;flag=1&amp;title=Aldridge%2011'%20Turnaround%20Fadeaway%20(4%20PTS)%20(Leonard%203%20AST)", "Aldridge 11' Turnaround Fadeaway (4 PTS) (Leonard 3 AST)")</f>
        <v>Aldridge 11' Turnaround Fadeaway (4 PTS) (Leonard 3 AST)</v>
      </c>
      <c r="L2371" s="2" t="str">
        <f>HYPERLINK("https://www.nba.com/game/...-vs-...-0041600233/play-by-play?watchFullGame=true", "SAS vs HOU - Q1 06:55.00")</f>
        <v>SAS vs HOU - Q1 06:55.00</v>
      </c>
      <c r="M2371">
        <v>11</v>
      </c>
      <c r="N2371">
        <v>-114</v>
      </c>
      <c r="O2371">
        <v>13</v>
      </c>
      <c r="P2371">
        <v>-114</v>
      </c>
      <c r="Q2371">
        <v>13</v>
      </c>
      <c r="R2371" t="s">
        <v>0</v>
      </c>
      <c r="S2371" t="s">
        <v>0</v>
      </c>
      <c r="T2371" t="s">
        <v>0</v>
      </c>
    </row>
    <row r="2372" spans="1:20" x14ac:dyDescent="0.25">
      <c r="A2372">
        <v>41600311</v>
      </c>
      <c r="B2372" t="s">
        <v>10</v>
      </c>
      <c r="C2372" t="s">
        <v>19</v>
      </c>
      <c r="D2372">
        <v>62</v>
      </c>
      <c r="E2372">
        <v>42</v>
      </c>
      <c r="F2372">
        <v>20</v>
      </c>
      <c r="G2372">
        <v>2</v>
      </c>
      <c r="H2372" s="1">
        <v>4.0509259259259258E-5</v>
      </c>
      <c r="I2372" t="s">
        <v>8</v>
      </c>
      <c r="J2372" t="s">
        <v>7</v>
      </c>
      <c r="K2372" s="2" t="str">
        <f>HYPERLINK("https://www.nba.com/stats/events?CFID=&amp;CFPARAMS=&amp;GameEventID=282&amp;GameID=0041600311&amp;Season=2016-17&amp;flag=1&amp;title=Green%2026'%203PT%20Pullup%20Jump%20Shot%20(6%20PTS)%20(Leonard%203%20AST)", "Green 26' 3PT Pullup Jump Shot (6 PTS) (Leonard 3 AST)")</f>
        <v>Green 26' 3PT Pullup Jump Shot (6 PTS) (Leonard 3 AST)</v>
      </c>
      <c r="L2372" s="2" t="str">
        <f>HYPERLINK("https://www.nba.com/game/...-vs-...-0041600311/play-by-play?watchFullGame=true", "SAS vs GSW - Q2 00:03.50")</f>
        <v>SAS vs GSW - Q2 00:03.50</v>
      </c>
      <c r="M2372">
        <v>26</v>
      </c>
      <c r="N2372">
        <v>209</v>
      </c>
      <c r="O2372">
        <v>154</v>
      </c>
      <c r="P2372">
        <v>209</v>
      </c>
      <c r="Q2372">
        <v>154</v>
      </c>
      <c r="R2372" t="s">
        <v>0</v>
      </c>
      <c r="S2372" t="s">
        <v>0</v>
      </c>
      <c r="T2372" t="s">
        <v>0</v>
      </c>
    </row>
    <row r="2373" spans="1:20" x14ac:dyDescent="0.25">
      <c r="A2373">
        <v>41800212</v>
      </c>
      <c r="B2373" t="s">
        <v>4</v>
      </c>
      <c r="C2373" t="s">
        <v>28</v>
      </c>
      <c r="D2373">
        <v>75</v>
      </c>
      <c r="E2373">
        <v>83</v>
      </c>
      <c r="F2373">
        <v>8</v>
      </c>
      <c r="G2373">
        <v>4</v>
      </c>
      <c r="H2373" s="1">
        <v>3.3449074074074076E-3</v>
      </c>
      <c r="I2373" t="s">
        <v>2</v>
      </c>
      <c r="J2373" t="s">
        <v>1</v>
      </c>
      <c r="K2373" s="2" t="str">
        <f>HYPERLINK("https://www.nba.com/stats/events?CFID=&amp;CFPARAMS=&amp;GameEventID=589&amp;GameID=0041800212&amp;Season=2018-19&amp;flag=1&amp;title=Siakam%202'%20Driving%20Finger%20Roll%20Layup%20(16%20PTS)%20(Leonard%204%20AST)", "Siakam 2' Driving Finger Roll Layup (16 PTS) (Leonard 4 AST)")</f>
        <v>Siakam 2' Driving Finger Roll Layup (16 PTS) (Leonard 4 AST)</v>
      </c>
      <c r="L2373" s="2" t="str">
        <f>HYPERLINK("https://www.nba.com/game/...-vs-...-0041800212/play-by-play?watchFullGame=true", "TOR vs PHI - Q4 04:49.00")</f>
        <v>TOR vs PHI - Q4 04:49.00</v>
      </c>
      <c r="M2373">
        <v>2</v>
      </c>
      <c r="N2373">
        <v>0</v>
      </c>
      <c r="O2373">
        <v>17</v>
      </c>
      <c r="P2373">
        <v>0</v>
      </c>
      <c r="Q2373">
        <v>17</v>
      </c>
      <c r="R2373" t="s">
        <v>0</v>
      </c>
      <c r="S2373" t="s">
        <v>0</v>
      </c>
      <c r="T2373" t="s">
        <v>0</v>
      </c>
    </row>
    <row r="2374" spans="1:20" x14ac:dyDescent="0.25">
      <c r="A2374">
        <v>41800303</v>
      </c>
      <c r="B2374" t="s">
        <v>10</v>
      </c>
      <c r="C2374" t="s">
        <v>9</v>
      </c>
      <c r="D2374">
        <v>48</v>
      </c>
      <c r="E2374">
        <v>37</v>
      </c>
      <c r="F2374">
        <v>11</v>
      </c>
      <c r="G2374">
        <v>2</v>
      </c>
      <c r="H2374" s="1">
        <v>2.9282407407407408E-3</v>
      </c>
      <c r="I2374" t="s">
        <v>2</v>
      </c>
      <c r="J2374" t="s">
        <v>1</v>
      </c>
      <c r="K2374" s="2" t="str">
        <f>HYPERLINK("https://www.nba.com/stats/events?CFID=&amp;CFPARAMS=&amp;GameEventID=295&amp;GameID=0041800303&amp;Season=2018-19&amp;flag=1&amp;title=Lowry%2026'%203PT%20Jump%20Shot%20(6%20PTS)%20(Leonard%205%20AST)", "Lowry 26' 3PT Jump Shot (6 PTS) (Leonard 5 AST)")</f>
        <v>Lowry 26' 3PT Jump Shot (6 PTS) (Leonard 5 AST)</v>
      </c>
      <c r="L2374" s="2" t="str">
        <f>HYPERLINK("https://www.nba.com/game/...-vs-...-0041800303/play-by-play?watchFullGame=true", "TOR vs MIL - Q2 04:13.00")</f>
        <v>TOR vs MIL - Q2 04:13.00</v>
      </c>
      <c r="M2374">
        <v>26</v>
      </c>
      <c r="N2374">
        <v>-2</v>
      </c>
      <c r="O2374">
        <v>262</v>
      </c>
      <c r="P2374">
        <v>-2</v>
      </c>
      <c r="Q2374">
        <v>262</v>
      </c>
      <c r="R2374" t="s">
        <v>0</v>
      </c>
      <c r="S2374" t="s">
        <v>0</v>
      </c>
      <c r="T2374" t="s">
        <v>0</v>
      </c>
    </row>
    <row r="2375" spans="1:20" x14ac:dyDescent="0.25">
      <c r="A2375">
        <v>41800305</v>
      </c>
      <c r="B2375" t="s">
        <v>10</v>
      </c>
      <c r="C2375" t="s">
        <v>9</v>
      </c>
      <c r="D2375">
        <v>46</v>
      </c>
      <c r="E2375">
        <v>49</v>
      </c>
      <c r="F2375">
        <v>3</v>
      </c>
      <c r="G2375">
        <v>2</v>
      </c>
      <c r="H2375" s="1">
        <v>2.4189814814814812E-4</v>
      </c>
      <c r="I2375" t="s">
        <v>2</v>
      </c>
      <c r="J2375" t="s">
        <v>1</v>
      </c>
      <c r="K2375" s="2" t="str">
        <f>HYPERLINK("https://www.nba.com/stats/events?CFID=&amp;CFPARAMS=&amp;GameEventID=318&amp;GameID=0041800305&amp;Season=2018-19&amp;flag=1&amp;title=Siakam%203PT%20Jump%20Shot%20(8%20PTS)%20(Leonard%204%20AST)", "Siakam 3PT Jump Shot (8 PTS) (Leonard 4 AST)")</f>
        <v>Siakam 3PT Jump Shot (8 PTS) (Leonard 4 AST)</v>
      </c>
      <c r="L2375" s="2" t="str">
        <f>HYPERLINK("https://www.nba.com/game/...-vs-...-0041800305/play-by-play?watchFullGame=true", "TOR vs MIL - Q2 00:20.90")</f>
        <v>TOR vs MIL - Q2 00:20.90</v>
      </c>
      <c r="M2375">
        <v>0</v>
      </c>
      <c r="N2375">
        <v>-228</v>
      </c>
      <c r="O2375">
        <v>27</v>
      </c>
      <c r="P2375">
        <v>-228</v>
      </c>
      <c r="Q2375">
        <v>27</v>
      </c>
      <c r="R2375" t="s">
        <v>0</v>
      </c>
      <c r="S2375" t="s">
        <v>0</v>
      </c>
      <c r="T2375" t="s">
        <v>0</v>
      </c>
    </row>
    <row r="2376" spans="1:20" x14ac:dyDescent="0.25">
      <c r="A2376">
        <v>41800305</v>
      </c>
      <c r="B2376" t="s">
        <v>10</v>
      </c>
      <c r="C2376" t="s">
        <v>9</v>
      </c>
      <c r="D2376">
        <v>96</v>
      </c>
      <c r="E2376">
        <v>93</v>
      </c>
      <c r="F2376">
        <v>3</v>
      </c>
      <c r="G2376">
        <v>4</v>
      </c>
      <c r="H2376" s="1">
        <v>1.6087962962962963E-3</v>
      </c>
      <c r="I2376" t="s">
        <v>2</v>
      </c>
      <c r="J2376" t="s">
        <v>1</v>
      </c>
      <c r="K2376" s="2" t="str">
        <f>HYPERLINK("https://www.nba.com/stats/events?CFID=&amp;CFPARAMS=&amp;GameEventID=599&amp;GameID=0041800305&amp;Season=2018-19&amp;flag=1&amp;title=VanVleet%2025'%203PT%20Jump%20Shot%20(21%20PTS)%20(Leonard%209%20AST)", "VanVleet 25' 3PT Jump Shot (21 PTS) (Leonard 9 AST)")</f>
        <v>VanVleet 25' 3PT Jump Shot (21 PTS) (Leonard 9 AST)</v>
      </c>
      <c r="L2376" s="2" t="str">
        <f>HYPERLINK("https://www.nba.com/game/...-vs-...-0041800305/play-by-play?watchFullGame=true", "TOR vs MIL - Q4 02:19.00")</f>
        <v>TOR vs MIL - Q4 02:19.00</v>
      </c>
      <c r="M2376">
        <v>25</v>
      </c>
      <c r="N2376">
        <v>174</v>
      </c>
      <c r="O2376">
        <v>185</v>
      </c>
      <c r="P2376">
        <v>174</v>
      </c>
      <c r="Q2376">
        <v>185</v>
      </c>
      <c r="R2376" t="s">
        <v>0</v>
      </c>
      <c r="S2376" t="s">
        <v>0</v>
      </c>
      <c r="T2376" t="s">
        <v>0</v>
      </c>
    </row>
    <row r="2377" spans="1:20" x14ac:dyDescent="0.25">
      <c r="A2377">
        <v>41800405</v>
      </c>
      <c r="B2377" t="s">
        <v>4</v>
      </c>
      <c r="C2377" t="s">
        <v>9</v>
      </c>
      <c r="D2377">
        <v>23</v>
      </c>
      <c r="E2377">
        <v>21</v>
      </c>
      <c r="F2377">
        <v>2</v>
      </c>
      <c r="G2377">
        <v>1</v>
      </c>
      <c r="H2377" s="1">
        <v>2.8935185185185184E-3</v>
      </c>
      <c r="I2377" t="s">
        <v>2</v>
      </c>
      <c r="J2377" t="s">
        <v>1</v>
      </c>
      <c r="K2377" s="2" t="str">
        <f>HYPERLINK("https://www.nba.com/stats/events?CFID=&amp;CFPARAMS=&amp;GameEventID=97&amp;GameID=0041800405&amp;Season=2018-19&amp;flag=1&amp;title=Siakam%209'%20Jump%20Shot%20(4%20PTS)%20(Leonard%203%20AST)", "Siakam 9' Jump Shot (4 PTS) (Leonard 3 AST)")</f>
        <v>Siakam 9' Jump Shot (4 PTS) (Leonard 3 AST)</v>
      </c>
      <c r="L2377" s="2" t="str">
        <f>HYPERLINK("https://www.nba.com/game/...-vs-...-0041800405/play-by-play?watchFullGame=true", "TOR vs GSW - Q1 04:10.00")</f>
        <v>TOR vs GSW - Q1 04:10.00</v>
      </c>
      <c r="M2377">
        <v>9</v>
      </c>
      <c r="N2377">
        <v>89</v>
      </c>
      <c r="O2377">
        <v>6</v>
      </c>
      <c r="P2377">
        <v>89</v>
      </c>
      <c r="Q2377">
        <v>6</v>
      </c>
      <c r="R2377" t="s">
        <v>0</v>
      </c>
      <c r="S2377" t="s">
        <v>0</v>
      </c>
      <c r="T2377" t="s">
        <v>0</v>
      </c>
    </row>
    <row r="2378" spans="1:20" x14ac:dyDescent="0.25">
      <c r="A2378">
        <v>41800406</v>
      </c>
      <c r="B2378" t="s">
        <v>10</v>
      </c>
      <c r="C2378" t="s">
        <v>9</v>
      </c>
      <c r="D2378">
        <v>17</v>
      </c>
      <c r="E2378">
        <v>8</v>
      </c>
      <c r="F2378">
        <v>9</v>
      </c>
      <c r="G2378">
        <v>1</v>
      </c>
      <c r="H2378" s="1">
        <v>5.6018518518518518E-3</v>
      </c>
      <c r="I2378" t="s">
        <v>2</v>
      </c>
      <c r="J2378" t="s">
        <v>1</v>
      </c>
      <c r="K2378" s="2" t="str">
        <f>HYPERLINK("https://www.nba.com/stats/events?CFID=&amp;CFPARAMS=&amp;GameEventID=50&amp;GameID=0041800406&amp;Season=2018-19&amp;flag=1&amp;title=Siakam%2025'%203PT%20Jump%20Shot%20(6%20PTS)%20(Leonard%201%20AST)", "Siakam 25' 3PT Jump Shot (6 PTS) (Leonard 1 AST)")</f>
        <v>Siakam 25' 3PT Jump Shot (6 PTS) (Leonard 1 AST)</v>
      </c>
      <c r="L2378" s="2" t="str">
        <f>HYPERLINK("https://www.nba.com/game/...-vs-...-0041800406/play-by-play?watchFullGame=true", "TOR vs GSW - Q1 08:04.00")</f>
        <v>TOR vs GSW - Q1 08:04.00</v>
      </c>
      <c r="M2378">
        <v>25</v>
      </c>
      <c r="N2378">
        <v>-9</v>
      </c>
      <c r="O2378">
        <v>247</v>
      </c>
      <c r="P2378">
        <v>-9</v>
      </c>
      <c r="Q2378">
        <v>247</v>
      </c>
      <c r="R2378" t="s">
        <v>0</v>
      </c>
      <c r="S2378" t="s">
        <v>0</v>
      </c>
      <c r="T2378" t="s">
        <v>0</v>
      </c>
    </row>
    <row r="2379" spans="1:20" x14ac:dyDescent="0.25">
      <c r="A2379">
        <v>41200231</v>
      </c>
      <c r="B2379" t="s">
        <v>4</v>
      </c>
      <c r="C2379" t="s">
        <v>9</v>
      </c>
      <c r="D2379">
        <v>51</v>
      </c>
      <c r="E2379">
        <v>53</v>
      </c>
      <c r="F2379">
        <v>2</v>
      </c>
      <c r="G2379">
        <v>3</v>
      </c>
      <c r="H2379" s="1">
        <v>8.1597222222222227E-3</v>
      </c>
      <c r="I2379" t="s">
        <v>27</v>
      </c>
      <c r="J2379" t="s">
        <v>7</v>
      </c>
      <c r="K2379" s="2" t="str">
        <f>HYPERLINK("https://www.nba.com/stats/events?CFID=&amp;CFPARAMS=&amp;GameEventID=271&amp;GameID=0041200231&amp;Season=2012-13&amp;flag=1&amp;title=Duncan%2017'%20Jump%20Shot%20(14%20PTS)%20(Leonard%201%20AST)", "Duncan 17' Jump Shot (14 PTS) (Leonard 1 AST)")</f>
        <v>Duncan 17' Jump Shot (14 PTS) (Leonard 1 AST)</v>
      </c>
      <c r="L2379" s="2" t="str">
        <f>HYPERLINK("https://www.nba.com/game/...-vs-...-0041200231/play-by-play?watchFullGame=true", "SAS vs GSW - Q3 11:45.00")</f>
        <v>SAS vs GSW - Q3 11:45.00</v>
      </c>
      <c r="M2379">
        <v>17</v>
      </c>
      <c r="N2379">
        <v>83</v>
      </c>
      <c r="O2379">
        <v>151</v>
      </c>
      <c r="P2379">
        <v>83</v>
      </c>
      <c r="Q2379">
        <v>151</v>
      </c>
      <c r="R2379" t="s">
        <v>0</v>
      </c>
      <c r="S2379" t="s">
        <v>0</v>
      </c>
      <c r="T2379" t="s">
        <v>0</v>
      </c>
    </row>
    <row r="2380" spans="1:20" x14ac:dyDescent="0.25">
      <c r="A2380">
        <v>41200232</v>
      </c>
      <c r="B2380" t="s">
        <v>10</v>
      </c>
      <c r="C2380" t="s">
        <v>9</v>
      </c>
      <c r="D2380">
        <v>70</v>
      </c>
      <c r="E2380">
        <v>77</v>
      </c>
      <c r="F2380">
        <v>7</v>
      </c>
      <c r="G2380">
        <v>3</v>
      </c>
      <c r="H2380" s="1">
        <v>9.7222222222222219E-4</v>
      </c>
      <c r="I2380" t="s">
        <v>27</v>
      </c>
      <c r="J2380" t="s">
        <v>7</v>
      </c>
      <c r="K2380" s="2" t="str">
        <f>HYPERLINK("https://www.nba.com/stats/events?CFID=&amp;CFPARAMS=&amp;GameEventID=373&amp;GameID=0041200232&amp;Season=2012-13&amp;flag=1&amp;title=Neal%2026'%203PT%20Jump%20Shot%20(4%20PTS)%20(Leonard%201%20AST)", "Neal 26' 3PT Jump Shot (4 PTS) (Leonard 1 AST)")</f>
        <v>Neal 26' 3PT Jump Shot (4 PTS) (Leonard 1 AST)</v>
      </c>
      <c r="L2380" s="2" t="str">
        <f>HYPERLINK("https://www.nba.com/game/...-vs-...-0041200232/play-by-play?watchFullGame=true", "SAS vs GSW - Q3 01:24.00")</f>
        <v>SAS vs GSW - Q3 01:24.00</v>
      </c>
      <c r="M2380">
        <v>26</v>
      </c>
      <c r="N2380">
        <v>155</v>
      </c>
      <c r="O2380">
        <v>208</v>
      </c>
      <c r="P2380">
        <v>155</v>
      </c>
      <c r="Q2380">
        <v>208</v>
      </c>
      <c r="R2380" t="s">
        <v>0</v>
      </c>
      <c r="S2380" t="s">
        <v>0</v>
      </c>
      <c r="T2380" t="s">
        <v>0</v>
      </c>
    </row>
    <row r="2381" spans="1:20" x14ac:dyDescent="0.25">
      <c r="A2381">
        <v>41200403</v>
      </c>
      <c r="B2381" t="s">
        <v>10</v>
      </c>
      <c r="C2381" t="s">
        <v>9</v>
      </c>
      <c r="D2381">
        <v>62</v>
      </c>
      <c r="E2381">
        <v>49</v>
      </c>
      <c r="F2381">
        <v>13</v>
      </c>
      <c r="G2381">
        <v>3</v>
      </c>
      <c r="H2381" s="1">
        <v>5.2199074074074075E-3</v>
      </c>
      <c r="I2381" t="s">
        <v>27</v>
      </c>
      <c r="J2381" t="s">
        <v>7</v>
      </c>
      <c r="K2381" s="2" t="str">
        <f>HYPERLINK("https://www.nba.com/stats/events?CFID=&amp;CFPARAMS=&amp;GameEventID=299&amp;GameID=0041200403&amp;Season=2012-13&amp;flag=1&amp;title=Green%20%203PT%20Jump%20Shot%20(13%20PTS)%20(Leonard%201%20AST)", "Green  3PT Jump Shot (13 PTS) (Leonard 1 AST)")</f>
        <v>Green  3PT Jump Shot (13 PTS) (Leonard 1 AST)</v>
      </c>
      <c r="L2381" s="2" t="str">
        <f>HYPERLINK("https://www.nba.com/game/...-vs-...-0041200403/play-by-play?watchFullGame=true", "SAS vs MIA - Q3 07:31.00")</f>
        <v>SAS vs MIA - Q3 07:31.00</v>
      </c>
      <c r="M2381">
        <v>0</v>
      </c>
      <c r="N2381">
        <v>-229</v>
      </c>
      <c r="O2381">
        <v>-10</v>
      </c>
      <c r="P2381">
        <v>-229</v>
      </c>
      <c r="Q2381">
        <v>-10</v>
      </c>
      <c r="R2381" t="s">
        <v>0</v>
      </c>
      <c r="S2381" t="s">
        <v>0</v>
      </c>
      <c r="T2381" t="s">
        <v>0</v>
      </c>
    </row>
    <row r="2382" spans="1:20" x14ac:dyDescent="0.25">
      <c r="A2382">
        <v>41400161</v>
      </c>
      <c r="B2382" t="s">
        <v>4</v>
      </c>
      <c r="C2382" t="s">
        <v>5</v>
      </c>
      <c r="D2382">
        <v>47</v>
      </c>
      <c r="E2382">
        <v>51</v>
      </c>
      <c r="F2382">
        <v>4</v>
      </c>
      <c r="G2382">
        <v>3</v>
      </c>
      <c r="H2382" s="1">
        <v>6.7129629629629631E-3</v>
      </c>
      <c r="I2382" t="s">
        <v>13</v>
      </c>
      <c r="J2382" t="s">
        <v>7</v>
      </c>
      <c r="K2382" s="2" t="str">
        <f>HYPERLINK("https://www.nba.com/stats/events?CFID=&amp;CFPARAMS=&amp;GameEventID=342&amp;GameID=0041400161&amp;Season=2014-15&amp;flag=1&amp;title=Splitter%201'%20Layup%20(4%20PTS)%20(Leonard%201%20AST)", "Splitter 1' Layup (4 PTS) (Leonard 1 AST)")</f>
        <v>Splitter 1' Layup (4 PTS) (Leonard 1 AST)</v>
      </c>
      <c r="L2382" s="2" t="str">
        <f>HYPERLINK("https://www.nba.com/game/...-vs-...-0041400161/play-by-play?watchFullGame=true", "SAS vs LAC - Q3 09:40.00")</f>
        <v>SAS vs LAC - Q3 09:40.00</v>
      </c>
      <c r="M2382">
        <v>1</v>
      </c>
      <c r="N2382">
        <v>-11</v>
      </c>
      <c r="O2382">
        <v>6</v>
      </c>
      <c r="P2382">
        <v>-11</v>
      </c>
      <c r="Q2382">
        <v>6</v>
      </c>
      <c r="R2382" t="s">
        <v>0</v>
      </c>
      <c r="S2382" t="s">
        <v>0</v>
      </c>
      <c r="T2382" t="s">
        <v>0</v>
      </c>
    </row>
    <row r="2383" spans="1:20" x14ac:dyDescent="0.25">
      <c r="A2383">
        <v>41400162</v>
      </c>
      <c r="B2383" t="s">
        <v>4</v>
      </c>
      <c r="C2383" t="s">
        <v>42</v>
      </c>
      <c r="D2383">
        <v>16</v>
      </c>
      <c r="E2383">
        <v>13</v>
      </c>
      <c r="F2383">
        <v>3</v>
      </c>
      <c r="G2383">
        <v>1</v>
      </c>
      <c r="H2383" s="1">
        <v>3.414351851851852E-3</v>
      </c>
      <c r="I2383" t="s">
        <v>13</v>
      </c>
      <c r="J2383" t="s">
        <v>7</v>
      </c>
      <c r="K2383" s="2" t="str">
        <f>HYPERLINK("https://www.nba.com/stats/events?CFID=&amp;CFPARAMS=&amp;GameEventID=61&amp;GameID=0041400162&amp;Season=2014-15&amp;flag=1&amp;title=Diaw%205'%20Running%20Bank%20Hook%20Shot%20(2%20PTS)%20(Leonard%201%20AST)", "Diaw 5' Running Bank Hook Shot (2 PTS) (Leonard 1 AST)")</f>
        <v>Diaw 5' Running Bank Hook Shot (2 PTS) (Leonard 1 AST)</v>
      </c>
      <c r="L2383" s="2" t="str">
        <f>HYPERLINK("https://www.nba.com/game/...-vs-...-0041400162/play-by-play?watchFullGame=true", "SAS vs LAC - Q1 04:55.00")</f>
        <v>SAS vs LAC - Q1 04:55.00</v>
      </c>
      <c r="M2383">
        <v>5</v>
      </c>
      <c r="N2383">
        <v>53</v>
      </c>
      <c r="O2383">
        <v>7</v>
      </c>
      <c r="P2383">
        <v>53</v>
      </c>
      <c r="Q2383">
        <v>7</v>
      </c>
      <c r="R2383" t="s">
        <v>0</v>
      </c>
      <c r="S2383" t="s">
        <v>0</v>
      </c>
      <c r="T2383" t="s">
        <v>0</v>
      </c>
    </row>
    <row r="2384" spans="1:20" x14ac:dyDescent="0.25">
      <c r="A2384">
        <v>41200401</v>
      </c>
      <c r="B2384" t="s">
        <v>4</v>
      </c>
      <c r="C2384" t="s">
        <v>9</v>
      </c>
      <c r="D2384">
        <v>53</v>
      </c>
      <c r="E2384">
        <v>58</v>
      </c>
      <c r="F2384">
        <v>5</v>
      </c>
      <c r="G2384">
        <v>3</v>
      </c>
      <c r="H2384" s="1">
        <v>6.0416666666666665E-3</v>
      </c>
      <c r="I2384" t="s">
        <v>27</v>
      </c>
      <c r="J2384" t="s">
        <v>7</v>
      </c>
      <c r="K2384" s="2" t="str">
        <f>HYPERLINK("https://www.nba.com/stats/events?CFID=&amp;CFPARAMS=&amp;GameEventID=278&amp;GameID=0041200401&amp;Season=2012-13&amp;flag=1&amp;title=Duncan%2017'%20Jump%20Shot%20(14%20PTS)%20(Leonard%201%20AST)", "Duncan 17' Jump Shot (14 PTS) (Leonard 1 AST)")</f>
        <v>Duncan 17' Jump Shot (14 PTS) (Leonard 1 AST)</v>
      </c>
      <c r="L2384" s="2" t="str">
        <f>HYPERLINK("https://www.nba.com/game/...-vs-...-0041200401/play-by-play?watchFullGame=true", "SAS vs MIA - Q3 08:42.00")</f>
        <v>SAS vs MIA - Q3 08:42.00</v>
      </c>
      <c r="M2384">
        <v>17</v>
      </c>
      <c r="N2384">
        <v>62</v>
      </c>
      <c r="O2384">
        <v>159</v>
      </c>
      <c r="P2384">
        <v>62</v>
      </c>
      <c r="Q2384">
        <v>159</v>
      </c>
      <c r="R2384" t="s">
        <v>0</v>
      </c>
      <c r="S2384" t="s">
        <v>0</v>
      </c>
      <c r="T2384" t="s">
        <v>0</v>
      </c>
    </row>
    <row r="2385" spans="1:20" x14ac:dyDescent="0.25">
      <c r="A2385">
        <v>41300315</v>
      </c>
      <c r="B2385" t="s">
        <v>4</v>
      </c>
      <c r="C2385" t="s">
        <v>41</v>
      </c>
      <c r="D2385">
        <v>14</v>
      </c>
      <c r="E2385">
        <v>19</v>
      </c>
      <c r="F2385">
        <v>5</v>
      </c>
      <c r="G2385">
        <v>1</v>
      </c>
      <c r="H2385" s="1">
        <v>2.8124999999999999E-3</v>
      </c>
      <c r="I2385" t="s">
        <v>15</v>
      </c>
      <c r="J2385" t="s">
        <v>7</v>
      </c>
      <c r="K2385" s="2" t="str">
        <f>HYPERLINK("https://www.nba.com/stats/events?CFID=&amp;CFPARAMS=&amp;GameEventID=72&amp;GameID=0041300315&amp;Season=2013-14&amp;flag=1&amp;title=Duncan%208'%20Turnaround%20Jump%20Shot%20(7%20PTS)%20(Leonard%201%20AST)", "Duncan 8' Turnaround Jump Shot (7 PTS) (Leonard 1 AST)")</f>
        <v>Duncan 8' Turnaround Jump Shot (7 PTS) (Leonard 1 AST)</v>
      </c>
      <c r="L2385" s="2" t="str">
        <f>HYPERLINK("https://www.nba.com/game/...-vs-...-0041300315/play-by-play?watchFullGame=true", "SAS vs OKC - Q1 04:03.00")</f>
        <v>SAS vs OKC - Q1 04:03.00</v>
      </c>
      <c r="M2385">
        <v>8</v>
      </c>
      <c r="N2385">
        <v>7</v>
      </c>
      <c r="O2385">
        <v>75</v>
      </c>
      <c r="P2385">
        <v>7</v>
      </c>
      <c r="Q2385">
        <v>75</v>
      </c>
      <c r="R2385" t="s">
        <v>0</v>
      </c>
      <c r="S2385" t="s">
        <v>0</v>
      </c>
      <c r="T2385" t="s">
        <v>0</v>
      </c>
    </row>
    <row r="2386" spans="1:20" x14ac:dyDescent="0.25">
      <c r="A2386">
        <v>41300316</v>
      </c>
      <c r="B2386" t="s">
        <v>4</v>
      </c>
      <c r="C2386" t="s">
        <v>5</v>
      </c>
      <c r="D2386">
        <v>81</v>
      </c>
      <c r="E2386">
        <v>69</v>
      </c>
      <c r="F2386">
        <v>12</v>
      </c>
      <c r="G2386">
        <v>4</v>
      </c>
      <c r="H2386" s="1">
        <v>7.9282407407407409E-3</v>
      </c>
      <c r="I2386" t="s">
        <v>15</v>
      </c>
      <c r="J2386" t="s">
        <v>7</v>
      </c>
      <c r="K2386" s="2" t="str">
        <f>HYPERLINK("https://www.nba.com/stats/events?CFID=&amp;CFPARAMS=&amp;GameEventID=376&amp;GameID=0041300316&amp;Season=2013-14&amp;flag=1&amp;title=Diaw%202'%20Layup%20(20%20PTS)%20(Leonard%201%20AST)", "Diaw 2' Layup (20 PTS) (Leonard 1 AST)")</f>
        <v>Diaw 2' Layup (20 PTS) (Leonard 1 AST)</v>
      </c>
      <c r="L2386" s="2" t="str">
        <f>HYPERLINK("https://www.nba.com/game/...-vs-...-0041300316/play-by-play?watchFullGame=true", "SAS vs OKC - Q4 11:25.00")</f>
        <v>SAS vs OKC - Q4 11:25.00</v>
      </c>
      <c r="M2386">
        <v>2</v>
      </c>
      <c r="N2386">
        <v>-16</v>
      </c>
      <c r="O2386">
        <v>0</v>
      </c>
      <c r="P2386">
        <v>-16</v>
      </c>
      <c r="Q2386">
        <v>0</v>
      </c>
      <c r="R2386" t="s">
        <v>0</v>
      </c>
      <c r="S2386" t="s">
        <v>0</v>
      </c>
      <c r="T2386" t="s">
        <v>0</v>
      </c>
    </row>
    <row r="2387" spans="1:20" x14ac:dyDescent="0.25">
      <c r="A2387">
        <v>41400174</v>
      </c>
      <c r="B2387" t="s">
        <v>4</v>
      </c>
      <c r="C2387" t="s">
        <v>23</v>
      </c>
      <c r="D2387">
        <v>37</v>
      </c>
      <c r="E2387">
        <v>33</v>
      </c>
      <c r="F2387">
        <v>4</v>
      </c>
      <c r="G2387">
        <v>2</v>
      </c>
      <c r="H2387" s="1">
        <v>4.5254629629629629E-3</v>
      </c>
      <c r="I2387" t="s">
        <v>13</v>
      </c>
      <c r="J2387" t="s">
        <v>12</v>
      </c>
      <c r="K2387" s="2" t="str">
        <f>HYPERLINK("https://www.nba.com/stats/events?CFID=&amp;CFPARAMS=&amp;GameEventID=144&amp;GameID=0041400174&amp;Season=2014-15&amp;flag=1&amp;title=McCollum%201'%20Driving%20Layup%20(5%20PTS)%20(Leonard%202%20AST)", "McCollum 1' Driving Layup (5 PTS) (Leonard 2 AST)")</f>
        <v>McCollum 1' Driving Layup (5 PTS) (Leonard 2 AST)</v>
      </c>
      <c r="L2387" s="2" t="str">
        <f>HYPERLINK("https://www.nba.com/game/...-vs-...-0041400174/play-by-play?watchFullGame=true", "POR vs MEM - Q2 06:31.00")</f>
        <v>POR vs MEM - Q2 06:31.00</v>
      </c>
      <c r="M2387">
        <v>1</v>
      </c>
      <c r="N2387">
        <v>6</v>
      </c>
      <c r="O2387">
        <v>0</v>
      </c>
      <c r="P2387">
        <v>6</v>
      </c>
      <c r="Q2387">
        <v>0</v>
      </c>
      <c r="R2387" t="s">
        <v>0</v>
      </c>
      <c r="S2387" t="s">
        <v>0</v>
      </c>
      <c r="T2387" t="s">
        <v>0</v>
      </c>
    </row>
    <row r="2388" spans="1:20" x14ac:dyDescent="0.25">
      <c r="A2388">
        <v>41300313</v>
      </c>
      <c r="B2388" t="s">
        <v>10</v>
      </c>
      <c r="C2388" t="s">
        <v>9</v>
      </c>
      <c r="D2388">
        <v>8</v>
      </c>
      <c r="E2388">
        <v>8</v>
      </c>
      <c r="F2388">
        <v>0</v>
      </c>
      <c r="G2388">
        <v>1</v>
      </c>
      <c r="H2388" s="1">
        <v>6.7013888888888887E-3</v>
      </c>
      <c r="I2388" t="s">
        <v>15</v>
      </c>
      <c r="J2388" t="s">
        <v>7</v>
      </c>
      <c r="K2388" s="2" t="str">
        <f>HYPERLINK("https://www.nba.com/stats/events?CFID=&amp;CFPARAMS=&amp;GameEventID=23&amp;GameID=0041300313&amp;Season=2013-14&amp;flag=1&amp;title=Green%2025'%203PT%20Jump%20Shot%20(6%20PTS)%20(Leonard%201%20AST)", "Green 25' 3PT Jump Shot (6 PTS) (Leonard 1 AST)")</f>
        <v>Green 25' 3PT Jump Shot (6 PTS) (Leonard 1 AST)</v>
      </c>
      <c r="L2388" s="2" t="str">
        <f>HYPERLINK("https://www.nba.com/game/...-vs-...-0041300313/play-by-play?watchFullGame=true", "SAS vs OKC - Q1 09:39.00")</f>
        <v>SAS vs OKC - Q1 09:39.00</v>
      </c>
      <c r="M2388">
        <v>25</v>
      </c>
      <c r="N2388">
        <v>187</v>
      </c>
      <c r="O2388">
        <v>173</v>
      </c>
      <c r="P2388">
        <v>187</v>
      </c>
      <c r="Q2388">
        <v>173</v>
      </c>
      <c r="R2388" t="s">
        <v>0</v>
      </c>
      <c r="S2388" t="s">
        <v>0</v>
      </c>
      <c r="T2388" t="s">
        <v>0</v>
      </c>
    </row>
    <row r="2389" spans="1:20" x14ac:dyDescent="0.25">
      <c r="A2389">
        <v>41400171</v>
      </c>
      <c r="B2389" t="s">
        <v>4</v>
      </c>
      <c r="C2389" t="s">
        <v>38</v>
      </c>
      <c r="D2389">
        <v>86</v>
      </c>
      <c r="E2389">
        <v>100</v>
      </c>
      <c r="F2389">
        <v>14</v>
      </c>
      <c r="G2389">
        <v>4</v>
      </c>
      <c r="H2389" s="1">
        <v>2.0486111111111109E-4</v>
      </c>
      <c r="I2389" t="s">
        <v>13</v>
      </c>
      <c r="J2389" t="s">
        <v>12</v>
      </c>
      <c r="K2389" s="2" t="str">
        <f>HYPERLINK("https://www.nba.com/stats/events?CFID=&amp;CFPARAMS=&amp;GameEventID=550&amp;GameID=0041400171&amp;Season=2014-15&amp;flag=1&amp;title=Crabbe%20Dunk%20(7%20PTS)%20(Leonard%202%20AST)", "Crabbe Dunk (7 PTS) (Leonard 2 AST)")</f>
        <v>Crabbe Dunk (7 PTS) (Leonard 2 AST)</v>
      </c>
      <c r="L2389" s="2" t="str">
        <f>HYPERLINK("https://www.nba.com/game/...-vs-...-0041400171/play-by-play?watchFullGame=true", "POR vs MEM - Q4 00:17.70")</f>
        <v>POR vs MEM - Q4 00:17.70</v>
      </c>
      <c r="M2389">
        <v>0</v>
      </c>
      <c r="N2389">
        <v>0</v>
      </c>
      <c r="O2389">
        <v>1</v>
      </c>
      <c r="P2389">
        <v>0</v>
      </c>
      <c r="Q2389">
        <v>1</v>
      </c>
      <c r="R2389" t="s">
        <v>0</v>
      </c>
      <c r="S2389" t="s">
        <v>0</v>
      </c>
      <c r="T2389" t="s">
        <v>0</v>
      </c>
    </row>
    <row r="2390" spans="1:20" x14ac:dyDescent="0.25">
      <c r="A2390">
        <v>41500154</v>
      </c>
      <c r="B2390" t="s">
        <v>10</v>
      </c>
      <c r="C2390" t="s">
        <v>9</v>
      </c>
      <c r="D2390">
        <v>11</v>
      </c>
      <c r="E2390">
        <v>11</v>
      </c>
      <c r="F2390">
        <v>0</v>
      </c>
      <c r="G2390">
        <v>1</v>
      </c>
      <c r="H2390" s="1">
        <v>4.8726851851851848E-3</v>
      </c>
      <c r="I2390" t="s">
        <v>11</v>
      </c>
      <c r="J2390" t="s">
        <v>7</v>
      </c>
      <c r="K2390" s="2" t="str">
        <f>HYPERLINK("https://www.nba.com/stats/events?CFID=&amp;CFPARAMS=&amp;GameEventID=42&amp;GameID=0041500154&amp;Season=2015-16&amp;flag=1&amp;title=Parker%20%203PT%20Jump%20Shot%20(5%20PTS)%20(Leonard%201%20AST)", "Parker  3PT Jump Shot (5 PTS) (Leonard 1 AST)")</f>
        <v>Parker  3PT Jump Shot (5 PTS) (Leonard 1 AST)</v>
      </c>
      <c r="L2390" s="2" t="str">
        <f>HYPERLINK("https://www.nba.com/game/...-vs-...-0041500154/play-by-play?watchFullGame=true", "SAS vs MEM - Q1 07:01.00")</f>
        <v>SAS vs MEM - Q1 07:01.00</v>
      </c>
      <c r="M2390">
        <v>0</v>
      </c>
      <c r="N2390">
        <v>230</v>
      </c>
      <c r="O2390">
        <v>-16</v>
      </c>
      <c r="P2390">
        <v>230</v>
      </c>
      <c r="Q2390">
        <v>-16</v>
      </c>
      <c r="R2390" t="s">
        <v>0</v>
      </c>
      <c r="S2390" t="s">
        <v>0</v>
      </c>
      <c r="T2390" t="s">
        <v>0</v>
      </c>
    </row>
    <row r="2391" spans="1:20" x14ac:dyDescent="0.25">
      <c r="A2391">
        <v>41500233</v>
      </c>
      <c r="B2391" t="s">
        <v>4</v>
      </c>
      <c r="C2391" t="s">
        <v>9</v>
      </c>
      <c r="D2391">
        <v>72</v>
      </c>
      <c r="E2391">
        <v>67</v>
      </c>
      <c r="F2391">
        <v>5</v>
      </c>
      <c r="G2391">
        <v>3</v>
      </c>
      <c r="H2391" s="1">
        <v>7.8703703703703705E-4</v>
      </c>
      <c r="I2391" t="s">
        <v>11</v>
      </c>
      <c r="J2391" t="s">
        <v>7</v>
      </c>
      <c r="K2391" s="2" t="str">
        <f>HYPERLINK("https://www.nba.com/stats/events?CFID=&amp;CFPARAMS=&amp;GameEventID=390&amp;GameID=0041500233&amp;Season=2015-16&amp;flag=1&amp;title=Aldridge%2019'%20Jump%20Shot%20(19%20PTS)%20(Leonard%203%20AST)", "Aldridge 19' Jump Shot (19 PTS) (Leonard 3 AST)")</f>
        <v>Aldridge 19' Jump Shot (19 PTS) (Leonard 3 AST)</v>
      </c>
      <c r="L2391" s="2" t="str">
        <f>HYPERLINK("https://www.nba.com/game/...-vs-...-0041500233/play-by-play?watchFullGame=true", "SAS vs OKC - Q3 01:08.00")</f>
        <v>SAS vs OKC - Q3 01:08.00</v>
      </c>
      <c r="M2391">
        <v>19</v>
      </c>
      <c r="N2391">
        <v>-42</v>
      </c>
      <c r="O2391">
        <v>183</v>
      </c>
      <c r="P2391">
        <v>-42</v>
      </c>
      <c r="Q2391">
        <v>183</v>
      </c>
      <c r="R2391" t="s">
        <v>0</v>
      </c>
      <c r="S2391" t="s">
        <v>0</v>
      </c>
      <c r="T2391" t="s">
        <v>0</v>
      </c>
    </row>
    <row r="2392" spans="1:20" x14ac:dyDescent="0.25">
      <c r="A2392">
        <v>41500236</v>
      </c>
      <c r="B2392" t="s">
        <v>4</v>
      </c>
      <c r="C2392" t="s">
        <v>23</v>
      </c>
      <c r="D2392">
        <v>14</v>
      </c>
      <c r="E2392">
        <v>8</v>
      </c>
      <c r="F2392">
        <v>6</v>
      </c>
      <c r="G2392">
        <v>1</v>
      </c>
      <c r="H2392" s="1">
        <v>3.8541666666666668E-3</v>
      </c>
      <c r="I2392" t="s">
        <v>11</v>
      </c>
      <c r="J2392" t="s">
        <v>7</v>
      </c>
      <c r="K2392" s="2" t="str">
        <f>HYPERLINK("https://www.nba.com/stats/events?CFID=&amp;CFPARAMS=&amp;GameEventID=45&amp;GameID=0041500236&amp;Season=2015-16&amp;flag=1&amp;title=Aldridge%202'%20Driving%20Layup%20(6%20PTS)%20(Leonard%201%20AST)", "Aldridge 2' Driving Layup (6 PTS) (Leonard 1 AST)")</f>
        <v>Aldridge 2' Driving Layup (6 PTS) (Leonard 1 AST)</v>
      </c>
      <c r="L2392" s="2" t="str">
        <f>HYPERLINK("https://www.nba.com/game/...-vs-...-0041500236/play-by-play?watchFullGame=true", "SAS vs OKC - Q1 05:33.00")</f>
        <v>SAS vs OKC - Q1 05:33.00</v>
      </c>
      <c r="M2392">
        <v>2</v>
      </c>
      <c r="N2392">
        <v>-14</v>
      </c>
      <c r="O2392">
        <v>11</v>
      </c>
      <c r="P2392">
        <v>-14</v>
      </c>
      <c r="Q2392">
        <v>11</v>
      </c>
      <c r="R2392" t="s">
        <v>0</v>
      </c>
      <c r="S2392" t="s">
        <v>0</v>
      </c>
      <c r="T2392" t="s">
        <v>0</v>
      </c>
    </row>
    <row r="2393" spans="1:20" x14ac:dyDescent="0.25">
      <c r="A2393">
        <v>41600151</v>
      </c>
      <c r="B2393" t="s">
        <v>4</v>
      </c>
      <c r="C2393" t="s">
        <v>17</v>
      </c>
      <c r="D2393">
        <v>60</v>
      </c>
      <c r="E2393">
        <v>55</v>
      </c>
      <c r="F2393">
        <v>5</v>
      </c>
      <c r="G2393">
        <v>3</v>
      </c>
      <c r="H2393" s="1">
        <v>4.9074074074074072E-3</v>
      </c>
      <c r="I2393" t="s">
        <v>8</v>
      </c>
      <c r="J2393" t="s">
        <v>7</v>
      </c>
      <c r="K2393" s="2" t="str">
        <f>HYPERLINK("https://www.nba.com/stats/events?CFID=&amp;CFPARAMS=&amp;GameEventID=270&amp;GameID=0041600151&amp;Season=2016-17&amp;flag=1&amp;title=Parker%2012'%20Floating%20Jump%20Shot%20(14%20PTS)%20(Leonard%205%20AST)", "Parker 12' Floating Jump Shot (14 PTS) (Leonard 5 AST)")</f>
        <v>Parker 12' Floating Jump Shot (14 PTS) (Leonard 5 AST)</v>
      </c>
      <c r="L2393" s="2" t="str">
        <f>HYPERLINK("https://www.nba.com/game/...-vs-...-0041600151/play-by-play?watchFullGame=true", "SAS vs MEM - Q3 07:04.00")</f>
        <v>SAS vs MEM - Q3 07:04.00</v>
      </c>
      <c r="M2393">
        <v>12</v>
      </c>
      <c r="N2393">
        <v>120</v>
      </c>
      <c r="O2393">
        <v>28</v>
      </c>
      <c r="P2393">
        <v>120</v>
      </c>
      <c r="Q2393">
        <v>28</v>
      </c>
      <c r="R2393" t="s">
        <v>0</v>
      </c>
      <c r="S2393" t="s">
        <v>0</v>
      </c>
      <c r="T2393" t="s">
        <v>0</v>
      </c>
    </row>
    <row r="2394" spans="1:20" x14ac:dyDescent="0.25">
      <c r="A2394">
        <v>41600154</v>
      </c>
      <c r="B2394" t="s">
        <v>4</v>
      </c>
      <c r="C2394" t="s">
        <v>40</v>
      </c>
      <c r="D2394">
        <v>75</v>
      </c>
      <c r="E2394">
        <v>83</v>
      </c>
      <c r="F2394">
        <v>8</v>
      </c>
      <c r="G2394">
        <v>4</v>
      </c>
      <c r="H2394" s="1">
        <v>4.5833333333333334E-3</v>
      </c>
      <c r="I2394" t="s">
        <v>8</v>
      </c>
      <c r="J2394" t="s">
        <v>7</v>
      </c>
      <c r="K2394" s="2" t="str">
        <f>HYPERLINK("https://www.nba.com/stats/events?CFID=&amp;CFPARAMS=&amp;GameEventID=426&amp;GameID=0041600154&amp;Season=2016-17&amp;flag=1&amp;title=Green%202'%20Running%20Reverse%20Layup%20(4%20PTS)%20(Leonard%203%20AST)", "Green 2' Running Reverse Layup (4 PTS) (Leonard 3 AST)")</f>
        <v>Green 2' Running Reverse Layup (4 PTS) (Leonard 3 AST)</v>
      </c>
      <c r="L2394" s="2" t="str">
        <f>HYPERLINK("https://www.nba.com/game/...-vs-...-0041600154/play-by-play?watchFullGame=true", "SAS vs MEM - Q4 06:36.00")</f>
        <v>SAS vs MEM - Q4 06:36.00</v>
      </c>
      <c r="M2394">
        <v>2</v>
      </c>
      <c r="N2394">
        <v>19</v>
      </c>
      <c r="O2394">
        <v>-6</v>
      </c>
      <c r="P2394">
        <v>19</v>
      </c>
      <c r="Q2394">
        <v>-6</v>
      </c>
      <c r="R2394" t="s">
        <v>0</v>
      </c>
      <c r="S2394" t="s">
        <v>0</v>
      </c>
      <c r="T2394" t="s">
        <v>0</v>
      </c>
    </row>
    <row r="2395" spans="1:20" x14ac:dyDescent="0.25">
      <c r="A2395">
        <v>41600155</v>
      </c>
      <c r="B2395" t="s">
        <v>10</v>
      </c>
      <c r="C2395" t="s">
        <v>9</v>
      </c>
      <c r="D2395">
        <v>44</v>
      </c>
      <c r="E2395">
        <v>40</v>
      </c>
      <c r="F2395">
        <v>4</v>
      </c>
      <c r="G2395">
        <v>2</v>
      </c>
      <c r="H2395" s="1">
        <v>3.0324074074074073E-3</v>
      </c>
      <c r="I2395" t="s">
        <v>8</v>
      </c>
      <c r="J2395" t="s">
        <v>7</v>
      </c>
      <c r="K2395" s="2" t="str">
        <f>HYPERLINK("https://www.nba.com/stats/events?CFID=&amp;CFPARAMS=&amp;GameEventID=188&amp;GameID=0041600155&amp;Season=2016-17&amp;flag=1&amp;title=Green%2025'%203PT%20Jump%20Shot%20(3%20PTS)%20(Leonard%204%20AST)", "Green 25' 3PT Jump Shot (3 PTS) (Leonard 4 AST)")</f>
        <v>Green 25' 3PT Jump Shot (3 PTS) (Leonard 4 AST)</v>
      </c>
      <c r="L2395" s="2" t="str">
        <f>HYPERLINK("https://www.nba.com/game/...-vs-...-0041600155/play-by-play?watchFullGame=true", "SAS vs MEM - Q2 04:22.00")</f>
        <v>SAS vs MEM - Q2 04:22.00</v>
      </c>
      <c r="M2395">
        <v>25</v>
      </c>
      <c r="N2395">
        <v>-135</v>
      </c>
      <c r="O2395">
        <v>210</v>
      </c>
      <c r="P2395">
        <v>-135</v>
      </c>
      <c r="Q2395">
        <v>210</v>
      </c>
      <c r="R2395" t="s">
        <v>0</v>
      </c>
      <c r="S2395" t="s">
        <v>0</v>
      </c>
      <c r="T2395" t="s">
        <v>0</v>
      </c>
    </row>
    <row r="2396" spans="1:20" x14ac:dyDescent="0.25">
      <c r="A2396">
        <v>41500154</v>
      </c>
      <c r="B2396" t="s">
        <v>4</v>
      </c>
      <c r="C2396" t="s">
        <v>20</v>
      </c>
      <c r="D2396">
        <v>69</v>
      </c>
      <c r="E2396">
        <v>53</v>
      </c>
      <c r="F2396">
        <v>16</v>
      </c>
      <c r="G2396">
        <v>3</v>
      </c>
      <c r="H2396" s="1">
        <v>3.9004629629629628E-3</v>
      </c>
      <c r="I2396" t="s">
        <v>11</v>
      </c>
      <c r="J2396" t="s">
        <v>7</v>
      </c>
      <c r="K2396" s="2" t="str">
        <f>HYPERLINK("https://www.nba.com/stats/events?CFID=&amp;CFPARAMS=&amp;GameEventID=350&amp;GameID=0041500154&amp;Season=2015-16&amp;flag=1&amp;title=Duncan%202'%20Cutting%20Layup%20Shot%20(7%20PTS)%20(Leonard%202%20AST)", "Duncan 2' Cutting Layup Shot (7 PTS) (Leonard 2 AST)")</f>
        <v>Duncan 2' Cutting Layup Shot (7 PTS) (Leonard 2 AST)</v>
      </c>
      <c r="L2396" s="2" t="str">
        <f>HYPERLINK("https://www.nba.com/game/...-vs-...-0041500154/play-by-play?watchFullGame=true", "SAS vs MEM - Q3 05:37.00")</f>
        <v>SAS vs MEM - Q3 05:37.00</v>
      </c>
      <c r="M2396">
        <v>2</v>
      </c>
      <c r="N2396">
        <v>20</v>
      </c>
      <c r="O2396">
        <v>-1</v>
      </c>
      <c r="P2396">
        <v>20</v>
      </c>
      <c r="Q2396">
        <v>-1</v>
      </c>
      <c r="R2396" t="s">
        <v>0</v>
      </c>
      <c r="S2396" t="s">
        <v>0</v>
      </c>
      <c r="T2396" t="s">
        <v>0</v>
      </c>
    </row>
    <row r="2397" spans="1:20" x14ac:dyDescent="0.25">
      <c r="A2397">
        <v>41600141</v>
      </c>
      <c r="B2397" t="s">
        <v>10</v>
      </c>
      <c r="C2397" t="s">
        <v>9</v>
      </c>
      <c r="D2397">
        <v>34</v>
      </c>
      <c r="E2397">
        <v>34</v>
      </c>
      <c r="F2397">
        <v>0</v>
      </c>
      <c r="G2397">
        <v>2</v>
      </c>
      <c r="H2397" s="1">
        <v>6.6319444444444446E-3</v>
      </c>
      <c r="I2397" t="s">
        <v>8</v>
      </c>
      <c r="J2397" t="s">
        <v>12</v>
      </c>
      <c r="K2397" s="2" t="str">
        <f>HYPERLINK("https://www.nba.com/stats/events?CFID=&amp;CFPARAMS=&amp;GameEventID=173&amp;GameID=0041600141&amp;Season=2016-17&amp;flag=1&amp;title=Crabbe%20%203PT%20Jump%20Shot%20(3%20PTS)%20(Leonard%201%20AST)", "Crabbe  3PT Jump Shot (3 PTS) (Leonard 1 AST)")</f>
        <v>Crabbe  3PT Jump Shot (3 PTS) (Leonard 1 AST)</v>
      </c>
      <c r="L2397" s="2" t="str">
        <f>HYPERLINK("https://www.nba.com/game/...-vs-...-0041600141/play-by-play?watchFullGame=true", "POR vs GSW - Q2 09:33.00")</f>
        <v>POR vs GSW - Q2 09:33.00</v>
      </c>
      <c r="M2397">
        <v>0</v>
      </c>
      <c r="N2397">
        <v>233</v>
      </c>
      <c r="O2397">
        <v>11</v>
      </c>
      <c r="P2397">
        <v>233</v>
      </c>
      <c r="Q2397">
        <v>11</v>
      </c>
      <c r="R2397" t="s">
        <v>0</v>
      </c>
      <c r="S2397" t="s">
        <v>0</v>
      </c>
      <c r="T2397" t="s">
        <v>0</v>
      </c>
    </row>
    <row r="2398" spans="1:20" x14ac:dyDescent="0.25">
      <c r="A2398">
        <v>41600154</v>
      </c>
      <c r="B2398" t="s">
        <v>4</v>
      </c>
      <c r="C2398" t="s">
        <v>6</v>
      </c>
      <c r="D2398">
        <v>26</v>
      </c>
      <c r="E2398">
        <v>21</v>
      </c>
      <c r="F2398">
        <v>5</v>
      </c>
      <c r="G2398">
        <v>1</v>
      </c>
      <c r="H2398" s="1">
        <v>3.6458333333333335E-4</v>
      </c>
      <c r="I2398" t="s">
        <v>8</v>
      </c>
      <c r="J2398" t="s">
        <v>7</v>
      </c>
      <c r="K2398" s="2" t="str">
        <f>HYPERLINK("https://www.nba.com/stats/events?CFID=&amp;CFPARAMS=&amp;GameEventID=96&amp;GameID=0041600154&amp;Season=2016-17&amp;flag=1&amp;title=Gasol%20%20Cutting%20Dunk%20Shot%20(4%20PTS)%20(Leonard%201%20AST)", "Gasol  Cutting Dunk Shot (4 PTS) (Leonard 1 AST)")</f>
        <v>Gasol  Cutting Dunk Shot (4 PTS) (Leonard 1 AST)</v>
      </c>
      <c r="L2398" s="2" t="str">
        <f>HYPERLINK("https://www.nba.com/game/...-vs-...-0041600154/play-by-play?watchFullGame=true", "SAS vs MEM - Q1 00:31.50")</f>
        <v>SAS vs MEM - Q1 00:31.50</v>
      </c>
      <c r="M2398">
        <v>0</v>
      </c>
      <c r="N2398">
        <v>0</v>
      </c>
      <c r="O2398">
        <v>1</v>
      </c>
      <c r="P2398">
        <v>0</v>
      </c>
      <c r="Q2398">
        <v>1</v>
      </c>
      <c r="R2398" t="s">
        <v>0</v>
      </c>
      <c r="S2398" t="s">
        <v>0</v>
      </c>
      <c r="T2398" t="s">
        <v>0</v>
      </c>
    </row>
    <row r="2399" spans="1:20" x14ac:dyDescent="0.25">
      <c r="A2399">
        <v>41600232</v>
      </c>
      <c r="B2399" t="s">
        <v>4</v>
      </c>
      <c r="C2399" t="s">
        <v>19</v>
      </c>
      <c r="D2399">
        <v>88</v>
      </c>
      <c r="E2399">
        <v>83</v>
      </c>
      <c r="F2399">
        <v>5</v>
      </c>
      <c r="G2399">
        <v>3</v>
      </c>
      <c r="H2399" s="1">
        <v>1.8518518518518518E-5</v>
      </c>
      <c r="I2399" t="s">
        <v>8</v>
      </c>
      <c r="J2399" t="s">
        <v>7</v>
      </c>
      <c r="K2399" s="2" t="str">
        <f>HYPERLINK("https://www.nba.com/stats/events?CFID=&amp;CFPARAMS=&amp;GameEventID=334&amp;GameID=0041600232&amp;Season=2016-17&amp;flag=1&amp;title=Simmons%2014'%20Pullup%20Jump%20Shot%20(4%20PTS)%20(Leonard%207%20AST)", "Simmons 14' Pullup Jump Shot (4 PTS) (Leonard 7 AST)")</f>
        <v>Simmons 14' Pullup Jump Shot (4 PTS) (Leonard 7 AST)</v>
      </c>
      <c r="L2399" s="2" t="str">
        <f>HYPERLINK("https://www.nba.com/game/...-vs-...-0041600232/play-by-play?watchFullGame=true", "SAS vs HOU - Q3 00:01.60")</f>
        <v>SAS vs HOU - Q3 00:01.60</v>
      </c>
      <c r="M2399">
        <v>14</v>
      </c>
      <c r="N2399">
        <v>-92</v>
      </c>
      <c r="O2399">
        <v>101</v>
      </c>
      <c r="P2399">
        <v>-92</v>
      </c>
      <c r="Q2399">
        <v>101</v>
      </c>
      <c r="R2399" t="s">
        <v>0</v>
      </c>
      <c r="S2399" t="s">
        <v>0</v>
      </c>
      <c r="T2399" t="s">
        <v>0</v>
      </c>
    </row>
    <row r="2400" spans="1:20" x14ac:dyDescent="0.25">
      <c r="A2400">
        <v>41600233</v>
      </c>
      <c r="B2400" t="s">
        <v>4</v>
      </c>
      <c r="C2400" t="s">
        <v>16</v>
      </c>
      <c r="D2400">
        <v>11</v>
      </c>
      <c r="E2400">
        <v>5</v>
      </c>
      <c r="F2400">
        <v>6</v>
      </c>
      <c r="G2400">
        <v>1</v>
      </c>
      <c r="H2400" s="1">
        <v>5.347222222222222E-3</v>
      </c>
      <c r="I2400" t="s">
        <v>8</v>
      </c>
      <c r="J2400" t="s">
        <v>7</v>
      </c>
      <c r="K2400" s="2" t="str">
        <f>HYPERLINK("https://www.nba.com/stats/events?CFID=&amp;CFPARAMS=&amp;GameEventID=47&amp;GameID=0041600233&amp;Season=2016-17&amp;flag=1&amp;title=Green%20Running%20Dunk%20(2%20PTS)%20(Leonard%202%20AST)", "Green Running Dunk (2 PTS) (Leonard 2 AST)")</f>
        <v>Green Running Dunk (2 PTS) (Leonard 2 AST)</v>
      </c>
      <c r="L2400" s="2" t="str">
        <f>HYPERLINK("https://www.nba.com/game/...-vs-...-0041600233/play-by-play?watchFullGame=true", "SAS vs HOU - Q1 07:42.00")</f>
        <v>SAS vs HOU - Q1 07:42.00</v>
      </c>
      <c r="M2400">
        <v>0</v>
      </c>
      <c r="N2400">
        <v>0</v>
      </c>
      <c r="O2400">
        <v>1</v>
      </c>
      <c r="P2400">
        <v>0</v>
      </c>
      <c r="Q2400">
        <v>1</v>
      </c>
      <c r="R2400" t="s">
        <v>0</v>
      </c>
      <c r="S2400" t="s">
        <v>0</v>
      </c>
      <c r="T2400" t="s">
        <v>0</v>
      </c>
    </row>
    <row r="2401" spans="1:20" x14ac:dyDescent="0.25">
      <c r="A2401">
        <v>41600233</v>
      </c>
      <c r="B2401" t="s">
        <v>10</v>
      </c>
      <c r="C2401" t="s">
        <v>9</v>
      </c>
      <c r="D2401">
        <v>91</v>
      </c>
      <c r="E2401">
        <v>80</v>
      </c>
      <c r="F2401">
        <v>11</v>
      </c>
      <c r="G2401">
        <v>4</v>
      </c>
      <c r="H2401" s="1">
        <v>2.7546296296296294E-3</v>
      </c>
      <c r="I2401" t="s">
        <v>8</v>
      </c>
      <c r="J2401" t="s">
        <v>7</v>
      </c>
      <c r="K2401" s="2" t="str">
        <f>HYPERLINK("https://www.nba.com/stats/events?CFID=&amp;CFPARAMS=&amp;GameEventID=480&amp;GameID=0041600233&amp;Season=2016-17&amp;flag=1&amp;title=Green%2026'%203PT%20Jump%20Shot%20(8%20PTS)%20(Leonard%207%20AST)", "Green 26' 3PT Jump Shot (8 PTS) (Leonard 7 AST)")</f>
        <v>Green 26' 3PT Jump Shot (8 PTS) (Leonard 7 AST)</v>
      </c>
      <c r="L2401" s="2" t="str">
        <f>HYPERLINK("https://www.nba.com/game/...-vs-...-0041600233/play-by-play?watchFullGame=true", "SAS vs HOU - Q4 03:58.00")</f>
        <v>SAS vs HOU - Q4 03:58.00</v>
      </c>
      <c r="M2401">
        <v>26</v>
      </c>
      <c r="N2401">
        <v>-199</v>
      </c>
      <c r="O2401">
        <v>164</v>
      </c>
      <c r="P2401">
        <v>-199</v>
      </c>
      <c r="Q2401">
        <v>164</v>
      </c>
      <c r="R2401" t="s">
        <v>0</v>
      </c>
      <c r="S2401" t="s">
        <v>0</v>
      </c>
      <c r="T2401" t="s">
        <v>0</v>
      </c>
    </row>
    <row r="2402" spans="1:20" x14ac:dyDescent="0.25">
      <c r="A2402">
        <v>41800113</v>
      </c>
      <c r="B2402" t="s">
        <v>10</v>
      </c>
      <c r="C2402" t="s">
        <v>9</v>
      </c>
      <c r="D2402">
        <v>13</v>
      </c>
      <c r="E2402">
        <v>5</v>
      </c>
      <c r="F2402">
        <v>8</v>
      </c>
      <c r="G2402">
        <v>1</v>
      </c>
      <c r="H2402" s="1">
        <v>4.3055555555555555E-3</v>
      </c>
      <c r="I2402" t="s">
        <v>2</v>
      </c>
      <c r="J2402" t="s">
        <v>1</v>
      </c>
      <c r="K2402" s="2" t="str">
        <f>HYPERLINK("https://www.nba.com/stats/events?CFID=&amp;CFPARAMS=&amp;GameEventID=78&amp;GameID=0041800113&amp;Season=2018-19&amp;flag=1&amp;title=Green%203PT%20Jump%20Shot%20(3%20PTS)%20(Leonard%202%20AST)", "Green 3PT Jump Shot (3 PTS) (Leonard 2 AST)")</f>
        <v>Green 3PT Jump Shot (3 PTS) (Leonard 2 AST)</v>
      </c>
      <c r="L2402" s="2" t="str">
        <f>HYPERLINK("https://www.nba.com/game/...-vs-...-0041800113/play-by-play?watchFullGame=true", "TOR vs ORL - Q1 06:12.00")</f>
        <v>TOR vs ORL - Q1 06:12.00</v>
      </c>
      <c r="M2402">
        <v>0</v>
      </c>
      <c r="N2402">
        <v>-226</v>
      </c>
      <c r="O2402">
        <v>21</v>
      </c>
      <c r="P2402">
        <v>-226</v>
      </c>
      <c r="Q2402">
        <v>21</v>
      </c>
      <c r="R2402" t="s">
        <v>0</v>
      </c>
      <c r="S2402" t="s">
        <v>0</v>
      </c>
      <c r="T2402" t="s">
        <v>0</v>
      </c>
    </row>
    <row r="2403" spans="1:20" x14ac:dyDescent="0.25">
      <c r="A2403">
        <v>41800231</v>
      </c>
      <c r="B2403" t="s">
        <v>10</v>
      </c>
      <c r="C2403" t="s">
        <v>9</v>
      </c>
      <c r="D2403">
        <v>40</v>
      </c>
      <c r="E2403">
        <v>36</v>
      </c>
      <c r="F2403">
        <v>4</v>
      </c>
      <c r="G2403">
        <v>2</v>
      </c>
      <c r="H2403" s="1">
        <v>6.5162037037037037E-3</v>
      </c>
      <c r="I2403" t="s">
        <v>2</v>
      </c>
      <c r="J2403" t="s">
        <v>12</v>
      </c>
      <c r="K2403" s="2" t="str">
        <f>HYPERLINK("https://www.nba.com/stats/events?CFID=&amp;CFPARAMS=&amp;GameEventID=167&amp;GameID=0041800231&amp;Season=2018-19&amp;flag=1&amp;title=Hood%2026'%203PT%20Jump%20Shot%20(8%20PTS)%20(Leonard%202%20AST)", "Hood 26' 3PT Jump Shot (8 PTS) (Leonard 2 AST)")</f>
        <v>Hood 26' 3PT Jump Shot (8 PTS) (Leonard 2 AST)</v>
      </c>
      <c r="L2403" s="2" t="str">
        <f>HYPERLINK("https://www.nba.com/game/...-vs-...-0041800231/play-by-play?watchFullGame=true", "POR vs DEN - Q2 09:23.00")</f>
        <v>POR vs DEN - Q2 09:23.00</v>
      </c>
      <c r="M2403">
        <v>26</v>
      </c>
      <c r="N2403">
        <v>188</v>
      </c>
      <c r="O2403">
        <v>180</v>
      </c>
      <c r="P2403">
        <v>188</v>
      </c>
      <c r="Q2403">
        <v>180</v>
      </c>
      <c r="R2403" t="s">
        <v>0</v>
      </c>
      <c r="S2403" t="s">
        <v>0</v>
      </c>
      <c r="T2403" t="s">
        <v>0</v>
      </c>
    </row>
    <row r="2404" spans="1:20" x14ac:dyDescent="0.25">
      <c r="A2404">
        <v>41400166</v>
      </c>
      <c r="B2404" t="s">
        <v>10</v>
      </c>
      <c r="C2404" t="s">
        <v>9</v>
      </c>
      <c r="D2404">
        <v>17</v>
      </c>
      <c r="E2404">
        <v>21</v>
      </c>
      <c r="F2404">
        <v>4</v>
      </c>
      <c r="G2404">
        <v>1</v>
      </c>
      <c r="H2404" s="1">
        <v>2.6967592592592594E-3</v>
      </c>
      <c r="I2404" t="s">
        <v>13</v>
      </c>
      <c r="J2404" t="s">
        <v>7</v>
      </c>
      <c r="K2404" s="2" t="str">
        <f>HYPERLINK("https://www.nba.com/stats/events?CFID=&amp;CFPARAMS=&amp;GameEventID=78&amp;GameID=0041400166&amp;Season=2014-15&amp;flag=1&amp;title=Ginobili%2024'%203PT%20Jump%20Shot%20(3%20PTS)%20(Leonard%201%20AST)", "Ginobili 24' 3PT Jump Shot (3 PTS) (Leonard 1 AST)")</f>
        <v>Ginobili 24' 3PT Jump Shot (3 PTS) (Leonard 1 AST)</v>
      </c>
      <c r="L2404" s="2" t="str">
        <f>HYPERLINK("https://www.nba.com/game/...-vs-...-0041400166/play-by-play?watchFullGame=true", "SAS vs LAC - Q1 03:53.00")</f>
        <v>SAS vs LAC - Q1 03:53.00</v>
      </c>
      <c r="M2404">
        <v>24</v>
      </c>
      <c r="N2404">
        <v>236</v>
      </c>
      <c r="O2404">
        <v>17</v>
      </c>
      <c r="P2404">
        <v>236</v>
      </c>
      <c r="Q2404">
        <v>17</v>
      </c>
      <c r="R2404" t="s">
        <v>0</v>
      </c>
      <c r="S2404" t="s">
        <v>0</v>
      </c>
      <c r="T2404" t="s">
        <v>0</v>
      </c>
    </row>
    <row r="2405" spans="1:20" x14ac:dyDescent="0.25">
      <c r="A2405">
        <v>41500231</v>
      </c>
      <c r="B2405" t="s">
        <v>4</v>
      </c>
      <c r="C2405" t="s">
        <v>9</v>
      </c>
      <c r="D2405">
        <v>75</v>
      </c>
      <c r="E2405">
        <v>43</v>
      </c>
      <c r="F2405">
        <v>32</v>
      </c>
      <c r="G2405">
        <v>3</v>
      </c>
      <c r="H2405" s="1">
        <v>7.8819444444444449E-3</v>
      </c>
      <c r="I2405" t="s">
        <v>11</v>
      </c>
      <c r="J2405" t="s">
        <v>7</v>
      </c>
      <c r="K2405" s="2" t="str">
        <f>HYPERLINK("https://www.nba.com/stats/events?CFID=&amp;CFPARAMS=&amp;GameEventID=247&amp;GameID=0041500231&amp;Season=2015-16&amp;flag=1&amp;title=Aldridge%2019'%20Jump%20Shot%20(27%20PTS)%20(Leonard%203%20AST)", "Aldridge 19' Jump Shot (27 PTS) (Leonard 3 AST)")</f>
        <v>Aldridge 19' Jump Shot (27 PTS) (Leonard 3 AST)</v>
      </c>
      <c r="L2405" s="2" t="str">
        <f>HYPERLINK("https://www.nba.com/game/...-vs-...-0041500231/play-by-play?watchFullGame=true", "SAS vs OKC - Q3 11:21.00")</f>
        <v>SAS vs OKC - Q3 11:21.00</v>
      </c>
      <c r="M2405">
        <v>19</v>
      </c>
      <c r="N2405">
        <v>120</v>
      </c>
      <c r="O2405">
        <v>149</v>
      </c>
      <c r="P2405">
        <v>120</v>
      </c>
      <c r="Q2405">
        <v>149</v>
      </c>
      <c r="R2405" t="s">
        <v>0</v>
      </c>
      <c r="S2405" t="s">
        <v>0</v>
      </c>
      <c r="T2405" t="s">
        <v>0</v>
      </c>
    </row>
    <row r="2406" spans="1:20" x14ac:dyDescent="0.25">
      <c r="A2406">
        <v>41500235</v>
      </c>
      <c r="B2406" t="s">
        <v>10</v>
      </c>
      <c r="C2406" t="s">
        <v>9</v>
      </c>
      <c r="D2406">
        <v>62</v>
      </c>
      <c r="E2406">
        <v>49</v>
      </c>
      <c r="F2406">
        <v>13</v>
      </c>
      <c r="G2406">
        <v>3</v>
      </c>
      <c r="H2406" s="1">
        <v>5.4398148148148149E-3</v>
      </c>
      <c r="I2406" t="s">
        <v>11</v>
      </c>
      <c r="J2406" t="s">
        <v>7</v>
      </c>
      <c r="K2406" s="2" t="str">
        <f>HYPERLINK("https://www.nba.com/stats/events?CFID=&amp;CFPARAMS=&amp;GameEventID=286&amp;GameID=0041500235&amp;Season=2015-16&amp;flag=1&amp;title=Green%2025'%203PT%20Jump%20Shot%20(14%20PTS)%20(Leonard%203%20AST)", "Green 25' 3PT Jump Shot (14 PTS) (Leonard 3 AST)")</f>
        <v>Green 25' 3PT Jump Shot (14 PTS) (Leonard 3 AST)</v>
      </c>
      <c r="L2406" s="2" t="str">
        <f>HYPERLINK("https://www.nba.com/game/...-vs-...-0041500235/play-by-play?watchFullGame=true", "SAS vs OKC - Q3 07:50.00")</f>
        <v>SAS vs OKC - Q3 07:50.00</v>
      </c>
      <c r="M2406">
        <v>25</v>
      </c>
      <c r="N2406">
        <v>184</v>
      </c>
      <c r="O2406">
        <v>164</v>
      </c>
      <c r="P2406">
        <v>184</v>
      </c>
      <c r="Q2406">
        <v>164</v>
      </c>
      <c r="R2406" t="s">
        <v>0</v>
      </c>
      <c r="S2406" t="s">
        <v>0</v>
      </c>
      <c r="T2406" t="s">
        <v>0</v>
      </c>
    </row>
    <row r="2407" spans="1:20" x14ac:dyDescent="0.25">
      <c r="A2407">
        <v>41600153</v>
      </c>
      <c r="B2407" t="s">
        <v>4</v>
      </c>
      <c r="C2407" t="s">
        <v>9</v>
      </c>
      <c r="D2407">
        <v>51</v>
      </c>
      <c r="E2407">
        <v>61</v>
      </c>
      <c r="F2407">
        <v>10</v>
      </c>
      <c r="G2407">
        <v>3</v>
      </c>
      <c r="H2407" s="1">
        <v>5.5902777777777773E-3</v>
      </c>
      <c r="I2407" t="s">
        <v>8</v>
      </c>
      <c r="J2407" t="s">
        <v>7</v>
      </c>
      <c r="K2407" s="2" t="str">
        <f>HYPERLINK("https://www.nba.com/stats/events?CFID=&amp;CFPARAMS=&amp;GameEventID=269&amp;GameID=0041600153&amp;Season=2016-17&amp;flag=1&amp;title=Aldridge%2017'%20Jump%20Shot%20(10%20PTS)%20(Leonard%203%20AST)", "Aldridge 17' Jump Shot (10 PTS) (Leonard 3 AST)")</f>
        <v>Aldridge 17' Jump Shot (10 PTS) (Leonard 3 AST)</v>
      </c>
      <c r="L2407" s="2" t="str">
        <f>HYPERLINK("https://www.nba.com/game/...-vs-...-0041600153/play-by-play?watchFullGame=true", "SAS vs MEM - Q3 08:03.00")</f>
        <v>SAS vs MEM - Q3 08:03.00</v>
      </c>
      <c r="M2407">
        <v>17</v>
      </c>
      <c r="N2407">
        <v>174</v>
      </c>
      <c r="O2407">
        <v>0</v>
      </c>
      <c r="P2407">
        <v>174</v>
      </c>
      <c r="Q2407">
        <v>0</v>
      </c>
      <c r="R2407" t="s">
        <v>0</v>
      </c>
      <c r="S2407" t="s">
        <v>0</v>
      </c>
      <c r="T2407" t="s">
        <v>0</v>
      </c>
    </row>
    <row r="2408" spans="1:20" x14ac:dyDescent="0.25">
      <c r="A2408">
        <v>41600155</v>
      </c>
      <c r="B2408" t="s">
        <v>4</v>
      </c>
      <c r="C2408" t="s">
        <v>38</v>
      </c>
      <c r="D2408">
        <v>6</v>
      </c>
      <c r="E2408">
        <v>10</v>
      </c>
      <c r="F2408">
        <v>4</v>
      </c>
      <c r="G2408">
        <v>1</v>
      </c>
      <c r="H2408" s="1">
        <v>4.6643518518518518E-3</v>
      </c>
      <c r="I2408" t="s">
        <v>8</v>
      </c>
      <c r="J2408" t="s">
        <v>7</v>
      </c>
      <c r="K2408" s="2" t="str">
        <f>HYPERLINK("https://www.nba.com/stats/events?CFID=&amp;CFPARAMS=&amp;GameEventID=42&amp;GameID=0041600155&amp;Season=2016-17&amp;flag=1&amp;title=Lee%20%20Dunk%20(4%20PTS)%20(Leonard%201%20AST)", "Lee  Dunk (4 PTS) (Leonard 1 AST)")</f>
        <v>Lee  Dunk (4 PTS) (Leonard 1 AST)</v>
      </c>
      <c r="L2408" s="2" t="str">
        <f>HYPERLINK("https://www.nba.com/game/...-vs-...-0041600155/play-by-play?watchFullGame=true", "SAS vs MEM - Q1 06:43.00")</f>
        <v>SAS vs MEM - Q1 06:43.00</v>
      </c>
      <c r="M2408">
        <v>0</v>
      </c>
      <c r="N2408">
        <v>0</v>
      </c>
      <c r="O2408">
        <v>1</v>
      </c>
      <c r="P2408">
        <v>0</v>
      </c>
      <c r="Q2408">
        <v>1</v>
      </c>
      <c r="R2408" t="s">
        <v>0</v>
      </c>
      <c r="S2408" t="s">
        <v>0</v>
      </c>
      <c r="T2408" t="s">
        <v>0</v>
      </c>
    </row>
    <row r="2409" spans="1:20" x14ac:dyDescent="0.25">
      <c r="A2409">
        <v>41600156</v>
      </c>
      <c r="B2409" t="s">
        <v>4</v>
      </c>
      <c r="C2409" t="s">
        <v>20</v>
      </c>
      <c r="D2409">
        <v>94</v>
      </c>
      <c r="E2409">
        <v>92</v>
      </c>
      <c r="F2409">
        <v>2</v>
      </c>
      <c r="G2409">
        <v>4</v>
      </c>
      <c r="H2409" s="1">
        <v>1.6782407407407408E-3</v>
      </c>
      <c r="I2409" t="s">
        <v>8</v>
      </c>
      <c r="J2409" t="s">
        <v>7</v>
      </c>
      <c r="K2409" s="2" t="str">
        <f>HYPERLINK("https://www.nba.com/stats/events?CFID=&amp;CFPARAMS=&amp;GameEventID=445&amp;GameID=0041600156&amp;Season=2016-17&amp;flag=1&amp;title=Lee%201'%20Cutting%20Layup%20Shot%20(7%20PTS)%20(Leonard%202%20AST)", "Lee 1' Cutting Layup Shot (7 PTS) (Leonard 2 AST)")</f>
        <v>Lee 1' Cutting Layup Shot (7 PTS) (Leonard 2 AST)</v>
      </c>
      <c r="L2409" s="2" t="str">
        <f>HYPERLINK("https://www.nba.com/game/...-vs-...-0041600156/play-by-play?watchFullGame=true", "SAS vs MEM - Q4 02:25.00")</f>
        <v>SAS vs MEM - Q4 02:25.00</v>
      </c>
      <c r="M2409">
        <v>1</v>
      </c>
      <c r="N2409">
        <v>-12</v>
      </c>
      <c r="O2409">
        <v>-1</v>
      </c>
      <c r="P2409">
        <v>-12</v>
      </c>
      <c r="Q2409">
        <v>-1</v>
      </c>
      <c r="R2409" t="s">
        <v>0</v>
      </c>
      <c r="S2409" t="s">
        <v>0</v>
      </c>
      <c r="T2409" t="s">
        <v>0</v>
      </c>
    </row>
    <row r="2410" spans="1:20" x14ac:dyDescent="0.25">
      <c r="A2410">
        <v>41600235</v>
      </c>
      <c r="B2410" t="s">
        <v>10</v>
      </c>
      <c r="C2410" t="s">
        <v>14</v>
      </c>
      <c r="D2410">
        <v>20</v>
      </c>
      <c r="E2410">
        <v>11</v>
      </c>
      <c r="F2410">
        <v>9</v>
      </c>
      <c r="G2410">
        <v>1</v>
      </c>
      <c r="H2410" s="1">
        <v>4.7569444444444447E-3</v>
      </c>
      <c r="I2410" t="s">
        <v>8</v>
      </c>
      <c r="J2410" t="s">
        <v>7</v>
      </c>
      <c r="K2410" s="2" t="str">
        <f>HYPERLINK("https://www.nba.com/stats/events?CFID=&amp;CFPARAMS=&amp;GameEventID=41&amp;GameID=0041600235&amp;Season=2016-17&amp;flag=1&amp;title=Mills%2024'%203PT%20Step%20Back%20Jump%20Shot%20(6%20PTS)%20(Leonard%202%20AST)", "Mills 24' 3PT Step Back Jump Shot (6 PTS) (Leonard 2 AST)")</f>
        <v>Mills 24' 3PT Step Back Jump Shot (6 PTS) (Leonard 2 AST)</v>
      </c>
      <c r="L2410" s="2" t="str">
        <f>HYPERLINK("https://www.nba.com/game/...-vs-...-0041600235/play-by-play?watchFullGame=true", "SAS vs HOU - Q1 06:51.00")</f>
        <v>SAS vs HOU - Q1 06:51.00</v>
      </c>
      <c r="M2410">
        <v>24</v>
      </c>
      <c r="N2410">
        <v>137</v>
      </c>
      <c r="O2410">
        <v>198</v>
      </c>
      <c r="P2410">
        <v>137</v>
      </c>
      <c r="Q2410">
        <v>198</v>
      </c>
      <c r="R2410" t="s">
        <v>0</v>
      </c>
      <c r="S2410" t="s">
        <v>0</v>
      </c>
      <c r="T2410" t="s">
        <v>0</v>
      </c>
    </row>
    <row r="2411" spans="1:20" x14ac:dyDescent="0.25">
      <c r="A2411">
        <v>41800212</v>
      </c>
      <c r="B2411" t="s">
        <v>10</v>
      </c>
      <c r="C2411" t="s">
        <v>39</v>
      </c>
      <c r="D2411">
        <v>38</v>
      </c>
      <c r="E2411">
        <v>51</v>
      </c>
      <c r="F2411">
        <v>13</v>
      </c>
      <c r="G2411">
        <v>2</v>
      </c>
      <c r="H2411" s="1">
        <v>1.4467592592592592E-4</v>
      </c>
      <c r="I2411" t="s">
        <v>2</v>
      </c>
      <c r="J2411" t="s">
        <v>1</v>
      </c>
      <c r="K2411" s="2" t="str">
        <f>HYPERLINK("https://www.nba.com/stats/events?CFID=&amp;CFPARAMS=&amp;GameEventID=321&amp;GameID=0041800212&amp;Season=2018-19&amp;flag=1&amp;title=Green%2028'%203PT%20Running%20Pull-Up%20Jump%20Shot%20(3%20PTS)%20(Leonard%201%20AST)", "Green 28' 3PT Running Pull-Up Jump Shot (3 PTS) (Leonard 1 AST)")</f>
        <v>Green 28' 3PT Running Pull-Up Jump Shot (3 PTS) (Leonard 1 AST)</v>
      </c>
      <c r="L2411" s="2" t="str">
        <f>HYPERLINK("https://www.nba.com/game/...-vs-...-0041800212/play-by-play?watchFullGame=true", "TOR vs PHI - Q2 00:12.50")</f>
        <v>TOR vs PHI - Q2 00:12.50</v>
      </c>
      <c r="M2411">
        <v>28</v>
      </c>
      <c r="N2411">
        <v>153</v>
      </c>
      <c r="O2411">
        <v>229</v>
      </c>
      <c r="P2411">
        <v>153</v>
      </c>
      <c r="Q2411">
        <v>229</v>
      </c>
      <c r="R2411" t="s">
        <v>0</v>
      </c>
      <c r="S2411" t="s">
        <v>0</v>
      </c>
      <c r="T2411" t="s">
        <v>0</v>
      </c>
    </row>
    <row r="2412" spans="1:20" x14ac:dyDescent="0.25">
      <c r="A2412">
        <v>41800305</v>
      </c>
      <c r="B2412" t="s">
        <v>10</v>
      </c>
      <c r="C2412" t="s">
        <v>9</v>
      </c>
      <c r="D2412">
        <v>27</v>
      </c>
      <c r="E2412">
        <v>32</v>
      </c>
      <c r="F2412">
        <v>5</v>
      </c>
      <c r="G2412">
        <v>2</v>
      </c>
      <c r="H2412" s="1">
        <v>7.1180555555555554E-3</v>
      </c>
      <c r="I2412" t="s">
        <v>2</v>
      </c>
      <c r="J2412" t="s">
        <v>1</v>
      </c>
      <c r="K2412" s="2" t="str">
        <f>HYPERLINK("https://www.nba.com/stats/events?CFID=&amp;CFPARAMS=&amp;GameEventID=199&amp;GameID=0041800305&amp;Season=2018-19&amp;flag=1&amp;title=Siakam%2024'%203PT%20Jump%20Shot%20(3%20PTS)%20(Leonard%202%20AST)", "Siakam 24' 3PT Jump Shot (3 PTS) (Leonard 2 AST)")</f>
        <v>Siakam 24' 3PT Jump Shot (3 PTS) (Leonard 2 AST)</v>
      </c>
      <c r="L2412" s="2" t="str">
        <f>HYPERLINK("https://www.nba.com/game/...-vs-...-0041800305/play-by-play?watchFullGame=true", "TOR vs MIL - Q2 10:15.00")</f>
        <v>TOR vs MIL - Q2 10:15.00</v>
      </c>
      <c r="M2412">
        <v>24</v>
      </c>
      <c r="N2412">
        <v>237</v>
      </c>
      <c r="O2412">
        <v>38</v>
      </c>
      <c r="P2412">
        <v>237</v>
      </c>
      <c r="Q2412">
        <v>38</v>
      </c>
      <c r="R2412" t="s">
        <v>0</v>
      </c>
      <c r="S2412" t="s">
        <v>0</v>
      </c>
      <c r="T2412" t="s">
        <v>0</v>
      </c>
    </row>
    <row r="2413" spans="1:20" x14ac:dyDescent="0.25">
      <c r="A2413">
        <v>41800306</v>
      </c>
      <c r="B2413" t="s">
        <v>10</v>
      </c>
      <c r="C2413" t="s">
        <v>9</v>
      </c>
      <c r="D2413">
        <v>43</v>
      </c>
      <c r="E2413">
        <v>46</v>
      </c>
      <c r="F2413">
        <v>3</v>
      </c>
      <c r="G2413">
        <v>2</v>
      </c>
      <c r="H2413" s="1">
        <v>7.7546296296296293E-4</v>
      </c>
      <c r="I2413" t="s">
        <v>2</v>
      </c>
      <c r="J2413" t="s">
        <v>1</v>
      </c>
      <c r="K2413" s="2" t="str">
        <f>HYPERLINK("https://www.nba.com/stats/events?CFID=&amp;CFPARAMS=&amp;GameEventID=302&amp;GameID=0041800306&amp;Season=2018-19&amp;flag=1&amp;title=VanVleet%2028'%203PT%20Jump%20Shot%20(9%20PTS)%20(Leonard%203%20AST)", "VanVleet 28' 3PT Jump Shot (9 PTS) (Leonard 3 AST)")</f>
        <v>VanVleet 28' 3PT Jump Shot (9 PTS) (Leonard 3 AST)</v>
      </c>
      <c r="L2413" s="2" t="str">
        <f>HYPERLINK("https://www.nba.com/game/...-vs-...-0041800306/play-by-play?watchFullGame=true", "TOR vs MIL - Q2 01:07.00")</f>
        <v>TOR vs MIL - Q2 01:07.00</v>
      </c>
      <c r="M2413">
        <v>28</v>
      </c>
      <c r="N2413">
        <v>133</v>
      </c>
      <c r="O2413">
        <v>247</v>
      </c>
      <c r="P2413">
        <v>133</v>
      </c>
      <c r="Q2413">
        <v>247</v>
      </c>
      <c r="R2413" t="s">
        <v>0</v>
      </c>
      <c r="S2413" t="s">
        <v>0</v>
      </c>
      <c r="T2413" t="s">
        <v>0</v>
      </c>
    </row>
    <row r="2414" spans="1:20" x14ac:dyDescent="0.25">
      <c r="A2414">
        <v>41800306</v>
      </c>
      <c r="B2414" t="s">
        <v>10</v>
      </c>
      <c r="C2414" t="s">
        <v>9</v>
      </c>
      <c r="D2414">
        <v>92</v>
      </c>
      <c r="E2414">
        <v>88</v>
      </c>
      <c r="F2414">
        <v>4</v>
      </c>
      <c r="G2414">
        <v>4</v>
      </c>
      <c r="H2414" s="1">
        <v>2.662037037037037E-3</v>
      </c>
      <c r="I2414" t="s">
        <v>2</v>
      </c>
      <c r="J2414" t="s">
        <v>1</v>
      </c>
      <c r="K2414" s="2" t="str">
        <f>HYPERLINK("https://www.nba.com/stats/events?CFID=&amp;CFPARAMS=&amp;GameEventID=594&amp;GameID=0041800306&amp;Season=2018-19&amp;flag=1&amp;title=Gasol%203PT%20Jump%20Shot%20(6%20PTS)%20(Leonard%207%20AST)", "Gasol 3PT Jump Shot (6 PTS) (Leonard 7 AST)")</f>
        <v>Gasol 3PT Jump Shot (6 PTS) (Leonard 7 AST)</v>
      </c>
      <c r="L2414" s="2" t="str">
        <f>HYPERLINK("https://www.nba.com/game/...-vs-...-0041800306/play-by-play?watchFullGame=true", "TOR vs MIL - Q4 03:50.00")</f>
        <v>TOR vs MIL - Q4 03:50.00</v>
      </c>
      <c r="M2414">
        <v>0</v>
      </c>
      <c r="N2414">
        <v>231</v>
      </c>
      <c r="O2414">
        <v>28</v>
      </c>
      <c r="P2414">
        <v>231</v>
      </c>
      <c r="Q2414">
        <v>28</v>
      </c>
      <c r="R2414" t="s">
        <v>0</v>
      </c>
      <c r="S2414" t="s">
        <v>0</v>
      </c>
      <c r="T2414" t="s">
        <v>0</v>
      </c>
    </row>
    <row r="2415" spans="1:20" x14ac:dyDescent="0.25">
      <c r="A2415">
        <v>41800402</v>
      </c>
      <c r="B2415" t="s">
        <v>4</v>
      </c>
      <c r="C2415" t="s">
        <v>20</v>
      </c>
      <c r="D2415">
        <v>97</v>
      </c>
      <c r="E2415">
        <v>106</v>
      </c>
      <c r="F2415">
        <v>9</v>
      </c>
      <c r="G2415">
        <v>4</v>
      </c>
      <c r="H2415" s="1">
        <v>3.3101851851851851E-3</v>
      </c>
      <c r="I2415" t="s">
        <v>2</v>
      </c>
      <c r="J2415" t="s">
        <v>1</v>
      </c>
      <c r="K2415" s="2" t="str">
        <f>HYPERLINK("https://www.nba.com/stats/events?CFID=&amp;CFPARAMS=&amp;GameEventID=637&amp;GameID=0041800402&amp;Season=2018-19&amp;flag=1&amp;title=VanVleet%201'%20Cutting%20Layup%20Shot%20(17%20PTS)%20(Leonard%203%20AST)", "VanVleet 1' Cutting Layup Shot (17 PTS) (Leonard 3 AST)")</f>
        <v>VanVleet 1' Cutting Layup Shot (17 PTS) (Leonard 3 AST)</v>
      </c>
      <c r="L2415" s="2" t="str">
        <f>HYPERLINK("https://www.nba.com/game/...-vs-...-0041800402/play-by-play?watchFullGame=true", "TOR vs GSW - Q4 04:46.00")</f>
        <v>TOR vs GSW - Q4 04:46.00</v>
      </c>
      <c r="M2415">
        <v>1</v>
      </c>
      <c r="N2415">
        <v>11</v>
      </c>
      <c r="O2415">
        <v>10</v>
      </c>
      <c r="P2415">
        <v>11</v>
      </c>
      <c r="Q2415">
        <v>10</v>
      </c>
      <c r="R2415" t="s">
        <v>0</v>
      </c>
      <c r="S2415" t="s">
        <v>0</v>
      </c>
      <c r="T2415" t="s">
        <v>0</v>
      </c>
    </row>
    <row r="2416" spans="1:20" x14ac:dyDescent="0.25">
      <c r="A2416">
        <v>41800405</v>
      </c>
      <c r="B2416" t="s">
        <v>10</v>
      </c>
      <c r="C2416" t="s">
        <v>9</v>
      </c>
      <c r="D2416">
        <v>48</v>
      </c>
      <c r="E2416">
        <v>54</v>
      </c>
      <c r="F2416">
        <v>6</v>
      </c>
      <c r="G2416">
        <v>2</v>
      </c>
      <c r="H2416" s="1">
        <v>2.4305555555555556E-3</v>
      </c>
      <c r="I2416" t="s">
        <v>2</v>
      </c>
      <c r="J2416" t="s">
        <v>1</v>
      </c>
      <c r="K2416" s="2" t="str">
        <f>HYPERLINK("https://www.nba.com/stats/events?CFID=&amp;CFPARAMS=&amp;GameEventID=315&amp;GameID=0041800405&amp;Season=2018-19&amp;flag=1&amp;title=Gasol%2025'%203PT%20Jump%20Shot%20(13%20PTS)%20(Leonard%204%20AST)", "Gasol 25' 3PT Jump Shot (13 PTS) (Leonard 4 AST)")</f>
        <v>Gasol 25' 3PT Jump Shot (13 PTS) (Leonard 4 AST)</v>
      </c>
      <c r="L2416" s="2" t="str">
        <f>HYPERLINK("https://www.nba.com/game/...-vs-...-0041800405/play-by-play?watchFullGame=true", "TOR vs GSW - Q2 03:30.00")</f>
        <v>TOR vs GSW - Q2 03:30.00</v>
      </c>
      <c r="M2416">
        <v>25</v>
      </c>
      <c r="N2416">
        <v>35</v>
      </c>
      <c r="O2416">
        <v>246</v>
      </c>
      <c r="P2416">
        <v>35</v>
      </c>
      <c r="Q2416">
        <v>246</v>
      </c>
      <c r="R2416" t="s">
        <v>0</v>
      </c>
      <c r="S2416" t="s">
        <v>0</v>
      </c>
      <c r="T2416" t="s">
        <v>0</v>
      </c>
    </row>
    <row r="2417" spans="1:20" x14ac:dyDescent="0.25">
      <c r="A2417">
        <v>41200153</v>
      </c>
      <c r="B2417" t="s">
        <v>4</v>
      </c>
      <c r="C2417" t="s">
        <v>23</v>
      </c>
      <c r="D2417">
        <v>19</v>
      </c>
      <c r="E2417">
        <v>10</v>
      </c>
      <c r="F2417">
        <v>9</v>
      </c>
      <c r="G2417">
        <v>1</v>
      </c>
      <c r="H2417" s="1">
        <v>2.4074074074074076E-3</v>
      </c>
      <c r="I2417" t="s">
        <v>27</v>
      </c>
      <c r="J2417" t="s">
        <v>7</v>
      </c>
      <c r="K2417" s="2" t="str">
        <f>HYPERLINK("https://www.nba.com/stats/events?CFID=&amp;CFPARAMS=&amp;GameEventID=90&amp;GameID=0041200153&amp;Season=2012-13&amp;flag=1&amp;title=Duncan%202'%20Driving%20Layup%20(8%20PTS)%20(Leonard%201%20AST)", "Duncan 2' Driving Layup (8 PTS) (Leonard 1 AST)")</f>
        <v>Duncan 2' Driving Layup (8 PTS) (Leonard 1 AST)</v>
      </c>
      <c r="L2417" s="2" t="str">
        <f>HYPERLINK("https://www.nba.com/game/...-vs-...-0041200153/play-by-play?watchFullGame=true", "SAS vs LAL - Q1 03:28.00")</f>
        <v>SAS vs LAL - Q1 03:28.00</v>
      </c>
      <c r="M2417">
        <v>2</v>
      </c>
      <c r="N2417">
        <v>17</v>
      </c>
      <c r="O2417">
        <v>4</v>
      </c>
      <c r="P2417">
        <v>17</v>
      </c>
      <c r="Q2417">
        <v>4</v>
      </c>
      <c r="R2417" t="s">
        <v>0</v>
      </c>
      <c r="S2417" t="s">
        <v>0</v>
      </c>
      <c r="T2417" t="s">
        <v>0</v>
      </c>
    </row>
    <row r="2418" spans="1:20" x14ac:dyDescent="0.25">
      <c r="A2418">
        <v>41200402</v>
      </c>
      <c r="B2418" t="s">
        <v>10</v>
      </c>
      <c r="C2418" t="s">
        <v>9</v>
      </c>
      <c r="D2418">
        <v>53</v>
      </c>
      <c r="E2418">
        <v>54</v>
      </c>
      <c r="F2418">
        <v>1</v>
      </c>
      <c r="G2418">
        <v>3</v>
      </c>
      <c r="H2418" s="1">
        <v>5.3587962962962964E-3</v>
      </c>
      <c r="I2418" t="s">
        <v>27</v>
      </c>
      <c r="J2418" t="s">
        <v>7</v>
      </c>
      <c r="K2418" s="2" t="str">
        <f>HYPERLINK("https://www.nba.com/stats/events?CFID=&amp;CFPARAMS=&amp;GameEventID=264&amp;GameID=0041200402&amp;Season=2012-13&amp;flag=1&amp;title=Green%2024'%203PT%20Jump%20Shot%20(15%20PTS)%20(Leonard%202%20AST)", "Green 24' 3PT Jump Shot (15 PTS) (Leonard 2 AST)")</f>
        <v>Green 24' 3PT Jump Shot (15 PTS) (Leonard 2 AST)</v>
      </c>
      <c r="L2418" s="2" t="str">
        <f>HYPERLINK("https://www.nba.com/game/...-vs-...-0041200402/play-by-play?watchFullGame=true", "SAS vs MIA - Q3 07:43.00")</f>
        <v>SAS vs MIA - Q3 07:43.00</v>
      </c>
      <c r="M2418">
        <v>24</v>
      </c>
      <c r="N2418">
        <v>237</v>
      </c>
      <c r="O2418">
        <v>48</v>
      </c>
      <c r="P2418">
        <v>237</v>
      </c>
      <c r="Q2418">
        <v>48</v>
      </c>
      <c r="R2418" t="s">
        <v>0</v>
      </c>
      <c r="S2418" t="s">
        <v>0</v>
      </c>
      <c r="T2418" t="s">
        <v>0</v>
      </c>
    </row>
    <row r="2419" spans="1:20" x14ac:dyDescent="0.25">
      <c r="A2419">
        <v>41200403</v>
      </c>
      <c r="B2419" t="s">
        <v>4</v>
      </c>
      <c r="C2419" t="s">
        <v>38</v>
      </c>
      <c r="D2419">
        <v>66</v>
      </c>
      <c r="E2419">
        <v>52</v>
      </c>
      <c r="F2419">
        <v>14</v>
      </c>
      <c r="G2419">
        <v>3</v>
      </c>
      <c r="H2419" s="1">
        <v>3.5532407407407409E-3</v>
      </c>
      <c r="I2419" t="s">
        <v>27</v>
      </c>
      <c r="J2419" t="s">
        <v>7</v>
      </c>
      <c r="K2419" s="2" t="str">
        <f>HYPERLINK("https://www.nba.com/stats/events?CFID=&amp;CFPARAMS=&amp;GameEventID=316&amp;GameID=0041200403&amp;Season=2012-13&amp;flag=1&amp;title=Ginobili%202'%20Dunk%20(6%20PTS)%20(Leonard%202%20AST)", "Ginobili 2' Dunk (6 PTS) (Leonard 2 AST)")</f>
        <v>Ginobili 2' Dunk (6 PTS) (Leonard 2 AST)</v>
      </c>
      <c r="L2419" s="2" t="str">
        <f>HYPERLINK("https://www.nba.com/game/...-vs-...-0041200403/play-by-play?watchFullGame=true", "SAS vs MIA - Q3 05:07.00")</f>
        <v>SAS vs MIA - Q3 05:07.00</v>
      </c>
      <c r="M2419">
        <v>2</v>
      </c>
      <c r="N2419">
        <v>-18</v>
      </c>
      <c r="O2419">
        <v>4</v>
      </c>
      <c r="P2419">
        <v>-18</v>
      </c>
      <c r="Q2419">
        <v>4</v>
      </c>
      <c r="R2419" t="s">
        <v>0</v>
      </c>
      <c r="S2419" t="s">
        <v>0</v>
      </c>
      <c r="T2419" t="s">
        <v>0</v>
      </c>
    </row>
    <row r="2420" spans="1:20" x14ac:dyDescent="0.25">
      <c r="A2420">
        <v>41300311</v>
      </c>
      <c r="B2420" t="s">
        <v>4</v>
      </c>
      <c r="C2420" t="s">
        <v>5</v>
      </c>
      <c r="D2420">
        <v>81</v>
      </c>
      <c r="E2420">
        <v>78</v>
      </c>
      <c r="F2420">
        <v>3</v>
      </c>
      <c r="G2420">
        <v>3</v>
      </c>
      <c r="H2420" s="1">
        <v>2.1064814814814813E-3</v>
      </c>
      <c r="I2420" t="s">
        <v>15</v>
      </c>
      <c r="J2420" t="s">
        <v>7</v>
      </c>
      <c r="K2420" s="2" t="str">
        <f>HYPERLINK("https://www.nba.com/stats/events?CFID=&amp;CFPARAMS=&amp;GameEventID=330&amp;GameID=0041300311&amp;Season=2013-14&amp;flag=1&amp;title=Duncan%202'%20Layup%20(23%20PTS)%20(Leonard%202%20AST)", "Duncan 2' Layup (23 PTS) (Leonard 2 AST)")</f>
        <v>Duncan 2' Layup (23 PTS) (Leonard 2 AST)</v>
      </c>
      <c r="L2420" s="2" t="str">
        <f>HYPERLINK("https://www.nba.com/game/...-vs-...-0041300311/play-by-play?watchFullGame=true", "SAS vs OKC - Q3 03:02.00")</f>
        <v>SAS vs OKC - Q3 03:02.00</v>
      </c>
      <c r="M2420">
        <v>2</v>
      </c>
      <c r="N2420">
        <v>-16</v>
      </c>
      <c r="O2420">
        <v>15</v>
      </c>
      <c r="P2420">
        <v>-16</v>
      </c>
      <c r="Q2420">
        <v>15</v>
      </c>
      <c r="R2420" t="s">
        <v>0</v>
      </c>
      <c r="S2420" t="s">
        <v>0</v>
      </c>
      <c r="T2420" t="s">
        <v>0</v>
      </c>
    </row>
    <row r="2421" spans="1:20" x14ac:dyDescent="0.25">
      <c r="A2421">
        <v>41300316</v>
      </c>
      <c r="B2421" t="s">
        <v>10</v>
      </c>
      <c r="C2421" t="s">
        <v>9</v>
      </c>
      <c r="D2421">
        <v>100</v>
      </c>
      <c r="E2421">
        <v>99</v>
      </c>
      <c r="F2421">
        <v>1</v>
      </c>
      <c r="G2421">
        <v>4</v>
      </c>
      <c r="H2421" s="1">
        <v>3.1365740740740741E-4</v>
      </c>
      <c r="I2421" t="s">
        <v>15</v>
      </c>
      <c r="J2421" t="s">
        <v>7</v>
      </c>
      <c r="K2421" s="2" t="str">
        <f>HYPERLINK("https://www.nba.com/stats/events?CFID=&amp;CFPARAMS=&amp;GameEventID=524&amp;GameID=0041300316&amp;Season=2013-14&amp;flag=1&amp;title=Ginobili%2025'%203PT%20Jump%20Shot%20(12%20PTS)%20(Leonard%204%20AST)", "Ginobili 25' 3PT Jump Shot (12 PTS) (Leonard 4 AST)")</f>
        <v>Ginobili 25' 3PT Jump Shot (12 PTS) (Leonard 4 AST)</v>
      </c>
      <c r="L2421" s="2" t="str">
        <f>HYPERLINK("https://www.nba.com/game/...-vs-...-0041300316/play-by-play?watchFullGame=true", "SAS vs OKC - Q4 00:27.10")</f>
        <v>SAS vs OKC - Q4 00:27.10</v>
      </c>
      <c r="M2421">
        <v>25</v>
      </c>
      <c r="N2421">
        <v>-7</v>
      </c>
      <c r="O2421">
        <v>247</v>
      </c>
      <c r="P2421">
        <v>-7</v>
      </c>
      <c r="Q2421">
        <v>247</v>
      </c>
      <c r="R2421" t="s">
        <v>0</v>
      </c>
      <c r="S2421" t="s">
        <v>0</v>
      </c>
      <c r="T2421" t="s">
        <v>0</v>
      </c>
    </row>
    <row r="2422" spans="1:20" x14ac:dyDescent="0.25">
      <c r="A2422">
        <v>41300402</v>
      </c>
      <c r="B2422" t="s">
        <v>4</v>
      </c>
      <c r="C2422" t="s">
        <v>26</v>
      </c>
      <c r="D2422">
        <v>24</v>
      </c>
      <c r="E2422">
        <v>17</v>
      </c>
      <c r="F2422">
        <v>7</v>
      </c>
      <c r="G2422">
        <v>1</v>
      </c>
      <c r="H2422" s="1">
        <v>1.8749999999999999E-3</v>
      </c>
      <c r="I2422" t="s">
        <v>15</v>
      </c>
      <c r="J2422" t="s">
        <v>7</v>
      </c>
      <c r="K2422" s="2" t="str">
        <f>HYPERLINK("https://www.nba.com/stats/events?CFID=&amp;CFPARAMS=&amp;GameEventID=79&amp;GameID=0041300402&amp;Season=2013-14&amp;flag=1&amp;title=Ginobili%20%20Reverse%20Layup%20(2%20PTS)%20(Leonard%202%20AST)", "Ginobili  Reverse Layup (2 PTS) (Leonard 2 AST)")</f>
        <v>Ginobili  Reverse Layup (2 PTS) (Leonard 2 AST)</v>
      </c>
      <c r="L2422" s="2" t="str">
        <f>HYPERLINK("https://www.nba.com/game/...-vs-...-0041300402/play-by-play?watchFullGame=true", "SAS vs MIA - Q1 02:42.00")</f>
        <v>SAS vs MIA - Q1 02:42.00</v>
      </c>
      <c r="M2422">
        <v>0</v>
      </c>
      <c r="N2422">
        <v>1</v>
      </c>
      <c r="O2422">
        <v>0</v>
      </c>
      <c r="P2422">
        <v>1</v>
      </c>
      <c r="Q2422">
        <v>0</v>
      </c>
      <c r="R2422" t="s">
        <v>0</v>
      </c>
      <c r="S2422" t="s">
        <v>0</v>
      </c>
      <c r="T2422" t="s">
        <v>0</v>
      </c>
    </row>
    <row r="2423" spans="1:20" x14ac:dyDescent="0.25">
      <c r="A2423">
        <v>41400165</v>
      </c>
      <c r="B2423" t="s">
        <v>10</v>
      </c>
      <c r="C2423" t="s">
        <v>9</v>
      </c>
      <c r="D2423">
        <v>103</v>
      </c>
      <c r="E2423">
        <v>96</v>
      </c>
      <c r="F2423">
        <v>7</v>
      </c>
      <c r="G2423">
        <v>4</v>
      </c>
      <c r="H2423" s="1">
        <v>2.488425925925926E-3</v>
      </c>
      <c r="I2423" t="s">
        <v>13</v>
      </c>
      <c r="J2423" t="s">
        <v>7</v>
      </c>
      <c r="K2423" s="2" t="str">
        <f>HYPERLINK("https://www.nba.com/stats/events?CFID=&amp;CFPARAMS=&amp;GameEventID=571&amp;GameID=0041400165&amp;Season=2014-15&amp;flag=1&amp;title=Diaw%2024'%203PT%20Jump%20Shot%20(8%20PTS)%20(Leonard%203%20AST)", "Diaw 24' 3PT Jump Shot (8 PTS) (Leonard 3 AST)")</f>
        <v>Diaw 24' 3PT Jump Shot (8 PTS) (Leonard 3 AST)</v>
      </c>
      <c r="L2423" s="2" t="str">
        <f>HYPERLINK("https://www.nba.com/game/...-vs-...-0041400165/play-by-play?watchFullGame=true", "SAS vs LAC - Q4 03:35.00")</f>
        <v>SAS vs LAC - Q4 03:35.00</v>
      </c>
      <c r="M2423">
        <v>24</v>
      </c>
      <c r="N2423">
        <v>244</v>
      </c>
      <c r="O2423">
        <v>1</v>
      </c>
      <c r="P2423">
        <v>244</v>
      </c>
      <c r="Q2423">
        <v>1</v>
      </c>
      <c r="R2423" t="s">
        <v>0</v>
      </c>
      <c r="S2423" t="s">
        <v>0</v>
      </c>
      <c r="T2423" t="s">
        <v>0</v>
      </c>
    </row>
    <row r="2424" spans="1:20" x14ac:dyDescent="0.25">
      <c r="A2424">
        <v>41300312</v>
      </c>
      <c r="B2424" t="s">
        <v>4</v>
      </c>
      <c r="C2424" t="s">
        <v>26</v>
      </c>
      <c r="D2424">
        <v>6</v>
      </c>
      <c r="E2424">
        <v>7</v>
      </c>
      <c r="F2424">
        <v>1</v>
      </c>
      <c r="G2424">
        <v>1</v>
      </c>
      <c r="H2424" s="1">
        <v>5.5324074074074078E-3</v>
      </c>
      <c r="I2424" t="s">
        <v>15</v>
      </c>
      <c r="J2424" t="s">
        <v>7</v>
      </c>
      <c r="K2424" s="2" t="str">
        <f>HYPERLINK("https://www.nba.com/stats/events?CFID=&amp;CFPARAMS=&amp;GameEventID=33&amp;GameID=0041300312&amp;Season=2013-14&amp;flag=1&amp;title=Parker%202'%20Reverse%20Layup%20(2%20PTS)%20(Leonard%201%20AST)", "Parker 2' Reverse Layup (2 PTS) (Leonard 1 AST)")</f>
        <v>Parker 2' Reverse Layup (2 PTS) (Leonard 1 AST)</v>
      </c>
      <c r="L2424" s="2" t="str">
        <f>HYPERLINK("https://www.nba.com/game/...-vs-...-0041300312/play-by-play?watchFullGame=true", "SAS vs OKC - Q1 07:58.00")</f>
        <v>SAS vs OKC - Q1 07:58.00</v>
      </c>
      <c r="M2424">
        <v>2</v>
      </c>
      <c r="N2424">
        <v>-7</v>
      </c>
      <c r="O2424">
        <v>20</v>
      </c>
      <c r="P2424">
        <v>-7</v>
      </c>
      <c r="Q2424">
        <v>20</v>
      </c>
      <c r="R2424" t="s">
        <v>0</v>
      </c>
      <c r="S2424" t="s">
        <v>0</v>
      </c>
      <c r="T2424" t="s">
        <v>0</v>
      </c>
    </row>
    <row r="2425" spans="1:20" x14ac:dyDescent="0.25">
      <c r="A2425">
        <v>41300404</v>
      </c>
      <c r="B2425" t="s">
        <v>4</v>
      </c>
      <c r="C2425" t="s">
        <v>5</v>
      </c>
      <c r="D2425">
        <v>2</v>
      </c>
      <c r="E2425">
        <v>2</v>
      </c>
      <c r="F2425">
        <v>0</v>
      </c>
      <c r="G2425">
        <v>1</v>
      </c>
      <c r="H2425" s="1">
        <v>6.898148148148148E-3</v>
      </c>
      <c r="I2425" t="s">
        <v>15</v>
      </c>
      <c r="J2425" t="s">
        <v>7</v>
      </c>
      <c r="K2425" s="2" t="str">
        <f>HYPERLINK("https://www.nba.com/stats/events?CFID=&amp;CFPARAMS=&amp;GameEventID=14&amp;GameID=0041300404&amp;Season=2013-14&amp;flag=1&amp;title=Duncan%201'%20Layup%20(2%20PTS)%20(Leonard%201%20AST)", "Duncan 1' Layup (2 PTS) (Leonard 1 AST)")</f>
        <v>Duncan 1' Layup (2 PTS) (Leonard 1 AST)</v>
      </c>
      <c r="L2425" s="2" t="str">
        <f>HYPERLINK("https://www.nba.com/game/...-vs-...-0041300404/play-by-play?watchFullGame=true", "SAS vs MIA - Q1 09:56.00")</f>
        <v>SAS vs MIA - Q1 09:56.00</v>
      </c>
      <c r="M2425">
        <v>1</v>
      </c>
      <c r="N2425">
        <v>4</v>
      </c>
      <c r="O2425">
        <v>7</v>
      </c>
      <c r="P2425">
        <v>4</v>
      </c>
      <c r="Q2425">
        <v>7</v>
      </c>
      <c r="R2425" t="s">
        <v>0</v>
      </c>
      <c r="S2425" t="s">
        <v>0</v>
      </c>
      <c r="T2425" t="s">
        <v>0</v>
      </c>
    </row>
    <row r="2426" spans="1:20" x14ac:dyDescent="0.25">
      <c r="A2426">
        <v>41300404</v>
      </c>
      <c r="B2426" t="s">
        <v>10</v>
      </c>
      <c r="C2426" t="s">
        <v>9</v>
      </c>
      <c r="D2426">
        <v>13</v>
      </c>
      <c r="E2426">
        <v>4</v>
      </c>
      <c r="F2426">
        <v>9</v>
      </c>
      <c r="G2426">
        <v>1</v>
      </c>
      <c r="H2426" s="1">
        <v>4.7685185185185183E-3</v>
      </c>
      <c r="I2426" t="s">
        <v>15</v>
      </c>
      <c r="J2426" t="s">
        <v>7</v>
      </c>
      <c r="K2426" s="2" t="str">
        <f>HYPERLINK("https://www.nba.com/stats/events?CFID=&amp;CFPARAMS=&amp;GameEventID=38&amp;GameID=0041300404&amp;Season=2013-14&amp;flag=1&amp;title=Green%2026'%203PT%20Jump%20Shot%20(6%20PTS)%20(Leonard%202%20AST)", "Green 26' 3PT Jump Shot (6 PTS) (Leonard 2 AST)")</f>
        <v>Green 26' 3PT Jump Shot (6 PTS) (Leonard 2 AST)</v>
      </c>
      <c r="L2426" s="2" t="str">
        <f>HYPERLINK("https://www.nba.com/game/...-vs-...-0041300404/play-by-play?watchFullGame=true", "SAS vs MIA - Q1 06:52.00")</f>
        <v>SAS vs MIA - Q1 06:52.00</v>
      </c>
      <c r="M2426">
        <v>26</v>
      </c>
      <c r="N2426">
        <v>108</v>
      </c>
      <c r="O2426">
        <v>231</v>
      </c>
      <c r="P2426">
        <v>108</v>
      </c>
      <c r="Q2426">
        <v>231</v>
      </c>
      <c r="R2426" t="s">
        <v>0</v>
      </c>
      <c r="S2426" t="s">
        <v>0</v>
      </c>
      <c r="T2426" t="s">
        <v>0</v>
      </c>
    </row>
    <row r="2427" spans="1:20" x14ac:dyDescent="0.25">
      <c r="A2427">
        <v>41600155</v>
      </c>
      <c r="B2427" t="s">
        <v>10</v>
      </c>
      <c r="C2427" t="s">
        <v>9</v>
      </c>
      <c r="D2427">
        <v>47</v>
      </c>
      <c r="E2427">
        <v>42</v>
      </c>
      <c r="F2427">
        <v>5</v>
      </c>
      <c r="G2427">
        <v>2</v>
      </c>
      <c r="H2427" s="1">
        <v>2.5462962962962965E-3</v>
      </c>
      <c r="I2427" t="s">
        <v>8</v>
      </c>
      <c r="J2427" t="s">
        <v>7</v>
      </c>
      <c r="K2427" s="2" t="str">
        <f>HYPERLINK("https://www.nba.com/stats/events?CFID=&amp;CFPARAMS=&amp;GameEventID=190&amp;GameID=0041600155&amp;Season=2016-17&amp;flag=1&amp;title=Gasol%2024'%203PT%20Jump%20Shot%20(5%20PTS)%20(Leonard%205%20AST)", "Gasol 24' 3PT Jump Shot (5 PTS) (Leonard 5 AST)")</f>
        <v>Gasol 24' 3PT Jump Shot (5 PTS) (Leonard 5 AST)</v>
      </c>
      <c r="L2427" s="2" t="str">
        <f>HYPERLINK("https://www.nba.com/game/...-vs-...-0041600155/play-by-play?watchFullGame=true", "SAS vs MEM - Q2 03:40.00")</f>
        <v>SAS vs MEM - Q2 03:40.00</v>
      </c>
      <c r="M2427">
        <v>24</v>
      </c>
      <c r="N2427">
        <v>-235</v>
      </c>
      <c r="O2427">
        <v>26</v>
      </c>
      <c r="P2427">
        <v>-235</v>
      </c>
      <c r="Q2427">
        <v>26</v>
      </c>
      <c r="R2427" t="s">
        <v>0</v>
      </c>
      <c r="S2427" t="s">
        <v>0</v>
      </c>
      <c r="T2427" t="s">
        <v>0</v>
      </c>
    </row>
    <row r="2428" spans="1:20" x14ac:dyDescent="0.25">
      <c r="A2428">
        <v>41600231</v>
      </c>
      <c r="B2428" t="s">
        <v>4</v>
      </c>
      <c r="C2428" t="s">
        <v>38</v>
      </c>
      <c r="D2428">
        <v>4</v>
      </c>
      <c r="E2428">
        <v>5</v>
      </c>
      <c r="F2428">
        <v>1</v>
      </c>
      <c r="G2428">
        <v>1</v>
      </c>
      <c r="H2428" s="1">
        <v>7.1412037037037034E-3</v>
      </c>
      <c r="I2428" t="s">
        <v>8</v>
      </c>
      <c r="J2428" t="s">
        <v>7</v>
      </c>
      <c r="K2428" s="2" t="str">
        <f>HYPERLINK("https://www.nba.com/stats/events?CFID=&amp;CFPARAMS=&amp;GameEventID=16&amp;GameID=0041600231&amp;Season=2016-17&amp;flag=1&amp;title=Aldridge%20Dunk%20(2%20PTS)%20(Leonard%201%20AST)", "Aldridge Dunk (2 PTS) (Leonard 1 AST)")</f>
        <v>Aldridge Dunk (2 PTS) (Leonard 1 AST)</v>
      </c>
      <c r="L2428" s="2" t="str">
        <f>HYPERLINK("https://www.nba.com/game/...-vs-...-0041600231/play-by-play?watchFullGame=true", "SAS vs HOU - Q1 10:17.00")</f>
        <v>SAS vs HOU - Q1 10:17.00</v>
      </c>
      <c r="M2428">
        <v>0</v>
      </c>
      <c r="N2428">
        <v>0</v>
      </c>
      <c r="O2428">
        <v>1</v>
      </c>
      <c r="P2428">
        <v>0</v>
      </c>
      <c r="Q2428">
        <v>1</v>
      </c>
      <c r="R2428" t="s">
        <v>0</v>
      </c>
      <c r="S2428" t="s">
        <v>0</v>
      </c>
      <c r="T2428" t="s">
        <v>0</v>
      </c>
    </row>
    <row r="2429" spans="1:20" x14ac:dyDescent="0.25">
      <c r="A2429">
        <v>41800113</v>
      </c>
      <c r="B2429" t="s">
        <v>10</v>
      </c>
      <c r="C2429" t="s">
        <v>9</v>
      </c>
      <c r="D2429">
        <v>63</v>
      </c>
      <c r="E2429">
        <v>61</v>
      </c>
      <c r="F2429">
        <v>2</v>
      </c>
      <c r="G2429">
        <v>3</v>
      </c>
      <c r="H2429" s="1">
        <v>3.7384259259259259E-3</v>
      </c>
      <c r="I2429" t="s">
        <v>2</v>
      </c>
      <c r="J2429" t="s">
        <v>1</v>
      </c>
      <c r="K2429" s="2" t="str">
        <f>HYPERLINK("https://www.nba.com/stats/events?CFID=&amp;CFPARAMS=&amp;GameEventID=403&amp;GameID=0041800113&amp;Season=2018-19&amp;flag=1&amp;title=Green%203PT%20Jump%20Shot%20(9%20PTS)%20(Leonard%204%20AST)", "Green 3PT Jump Shot (9 PTS) (Leonard 4 AST)")</f>
        <v>Green 3PT Jump Shot (9 PTS) (Leonard 4 AST)</v>
      </c>
      <c r="L2429" s="2" t="str">
        <f>HYPERLINK("https://www.nba.com/game/...-vs-...-0041800113/play-by-play?watchFullGame=true", "TOR vs ORL - Q3 05:23.00")</f>
        <v>TOR vs ORL - Q3 05:23.00</v>
      </c>
      <c r="M2429">
        <v>0</v>
      </c>
      <c r="N2429">
        <v>231</v>
      </c>
      <c r="O2429">
        <v>30</v>
      </c>
      <c r="P2429">
        <v>231</v>
      </c>
      <c r="Q2429">
        <v>30</v>
      </c>
      <c r="R2429" t="s">
        <v>0</v>
      </c>
      <c r="S2429" t="s">
        <v>0</v>
      </c>
      <c r="T2429" t="s">
        <v>0</v>
      </c>
    </row>
    <row r="2430" spans="1:20" x14ac:dyDescent="0.25">
      <c r="A2430">
        <v>41800211</v>
      </c>
      <c r="B2430" t="s">
        <v>10</v>
      </c>
      <c r="C2430" t="s">
        <v>9</v>
      </c>
      <c r="D2430">
        <v>86</v>
      </c>
      <c r="E2430">
        <v>70</v>
      </c>
      <c r="F2430">
        <v>16</v>
      </c>
      <c r="G2430">
        <v>3</v>
      </c>
      <c r="H2430" s="1">
        <v>2.2916666666666667E-3</v>
      </c>
      <c r="I2430" t="s">
        <v>2</v>
      </c>
      <c r="J2430" t="s">
        <v>1</v>
      </c>
      <c r="K2430" s="2" t="str">
        <f>HYPERLINK("https://www.nba.com/stats/events?CFID=&amp;CFPARAMS=&amp;GameEventID=421&amp;GameID=0041800211&amp;Season=2018-19&amp;flag=1&amp;title=Green%203PT%20Jump%20Shot%20(7%20PTS)%20(Leonard%202%20AST)", "Green 3PT Jump Shot (7 PTS) (Leonard 2 AST)")</f>
        <v>Green 3PT Jump Shot (7 PTS) (Leonard 2 AST)</v>
      </c>
      <c r="L2430" s="2" t="str">
        <f>HYPERLINK("https://www.nba.com/game/...-vs-...-0041800211/play-by-play?watchFullGame=true", "TOR vs PHI - Q3 03:18.00")</f>
        <v>TOR vs PHI - Q3 03:18.00</v>
      </c>
      <c r="M2430">
        <v>0</v>
      </c>
      <c r="N2430">
        <v>226</v>
      </c>
      <c r="O2430">
        <v>25</v>
      </c>
      <c r="P2430">
        <v>226</v>
      </c>
      <c r="Q2430">
        <v>25</v>
      </c>
      <c r="R2430" t="s">
        <v>0</v>
      </c>
      <c r="S2430" t="s">
        <v>0</v>
      </c>
      <c r="T2430" t="s">
        <v>0</v>
      </c>
    </row>
    <row r="2431" spans="1:20" x14ac:dyDescent="0.25">
      <c r="A2431">
        <v>41800214</v>
      </c>
      <c r="B2431" t="s">
        <v>10</v>
      </c>
      <c r="C2431" t="s">
        <v>9</v>
      </c>
      <c r="D2431">
        <v>39</v>
      </c>
      <c r="E2431">
        <v>34</v>
      </c>
      <c r="F2431">
        <v>5</v>
      </c>
      <c r="G2431">
        <v>2</v>
      </c>
      <c r="H2431" s="1">
        <v>2.8587962962962963E-3</v>
      </c>
      <c r="I2431" t="s">
        <v>2</v>
      </c>
      <c r="J2431" t="s">
        <v>1</v>
      </c>
      <c r="K2431" s="2" t="str">
        <f>HYPERLINK("https://www.nba.com/stats/events?CFID=&amp;CFPARAMS=&amp;GameEventID=273&amp;GameID=0041800214&amp;Season=2018-19&amp;flag=1&amp;title=Green%203PT%20Jump%20Shot%20(3%20PTS)%20(Leonard%202%20AST)", "Green 3PT Jump Shot (3 PTS) (Leonard 2 AST)")</f>
        <v>Green 3PT Jump Shot (3 PTS) (Leonard 2 AST)</v>
      </c>
      <c r="L2431" s="2" t="str">
        <f>HYPERLINK("https://www.nba.com/game/...-vs-...-0041800214/play-by-play?watchFullGame=true", "TOR vs PHI - Q2 04:07.00")</f>
        <v>TOR vs PHI - Q2 04:07.00</v>
      </c>
      <c r="M2431">
        <v>0</v>
      </c>
      <c r="N2431">
        <v>230</v>
      </c>
      <c r="O2431">
        <v>5</v>
      </c>
      <c r="P2431">
        <v>230</v>
      </c>
      <c r="Q2431">
        <v>5</v>
      </c>
      <c r="R2431" t="s">
        <v>0</v>
      </c>
      <c r="S2431" t="s">
        <v>0</v>
      </c>
      <c r="T2431" t="s">
        <v>0</v>
      </c>
    </row>
    <row r="2432" spans="1:20" x14ac:dyDescent="0.25">
      <c r="A2432">
        <v>41800305</v>
      </c>
      <c r="B2432" t="s">
        <v>10</v>
      </c>
      <c r="C2432" t="s">
        <v>9</v>
      </c>
      <c r="D2432">
        <v>49</v>
      </c>
      <c r="E2432">
        <v>49</v>
      </c>
      <c r="F2432">
        <v>0</v>
      </c>
      <c r="G2432">
        <v>3</v>
      </c>
      <c r="H2432" s="1">
        <v>8.1944444444444452E-3</v>
      </c>
      <c r="I2432" t="s">
        <v>2</v>
      </c>
      <c r="J2432" t="s">
        <v>1</v>
      </c>
      <c r="K2432" s="2" t="str">
        <f>HYPERLINK("https://www.nba.com/stats/events?CFID=&amp;CFPARAMS=&amp;GameEventID=335&amp;GameID=0041800305&amp;Season=2018-19&amp;flag=1&amp;title=Lowry%2029'%203PT%20Jump%20Shot%20(12%20PTS)%20(Leonard%205%20AST)", "Lowry 29' 3PT Jump Shot (12 PTS) (Leonard 5 AST)")</f>
        <v>Lowry 29' 3PT Jump Shot (12 PTS) (Leonard 5 AST)</v>
      </c>
      <c r="L2432" s="2" t="str">
        <f>HYPERLINK("https://www.nba.com/game/...-vs-...-0041800305/play-by-play?watchFullGame=true", "TOR vs MIL - Q3 11:48.00")</f>
        <v>TOR vs MIL - Q3 11:48.00</v>
      </c>
      <c r="M2432">
        <v>29</v>
      </c>
      <c r="N2432">
        <v>-197</v>
      </c>
      <c r="O2432">
        <v>207</v>
      </c>
      <c r="P2432">
        <v>-197</v>
      </c>
      <c r="Q2432">
        <v>207</v>
      </c>
      <c r="R2432" t="s">
        <v>0</v>
      </c>
      <c r="S2432" t="s">
        <v>0</v>
      </c>
      <c r="T2432" t="s">
        <v>0</v>
      </c>
    </row>
    <row r="2433" spans="1:20" x14ac:dyDescent="0.25">
      <c r="A2433">
        <v>41800305</v>
      </c>
      <c r="B2433" t="s">
        <v>10</v>
      </c>
      <c r="C2433" t="s">
        <v>9</v>
      </c>
      <c r="D2433">
        <v>79</v>
      </c>
      <c r="E2433">
        <v>78</v>
      </c>
      <c r="F2433">
        <v>1</v>
      </c>
      <c r="G2433">
        <v>4</v>
      </c>
      <c r="H2433" s="1">
        <v>6.2152777777777779E-3</v>
      </c>
      <c r="I2433" t="s">
        <v>2</v>
      </c>
      <c r="J2433" t="s">
        <v>1</v>
      </c>
      <c r="K2433" s="2" t="str">
        <f>HYPERLINK("https://www.nba.com/stats/events?CFID=&amp;CFPARAMS=&amp;GameEventID=519&amp;GameID=0041800305&amp;Season=2018-19&amp;flag=1&amp;title=VanVleet%2024'%203PT%20Jump%20Shot%20(18%20PTS)%20(Leonard%207%20AST)", "VanVleet 24' 3PT Jump Shot (18 PTS) (Leonard 7 AST)")</f>
        <v>VanVleet 24' 3PT Jump Shot (18 PTS) (Leonard 7 AST)</v>
      </c>
      <c r="L2433" s="2" t="str">
        <f>HYPERLINK("https://www.nba.com/game/...-vs-...-0041800305/play-by-play?watchFullGame=true", "TOR vs MIL - Q4 08:57.00")</f>
        <v>TOR vs MIL - Q4 08:57.00</v>
      </c>
      <c r="M2433">
        <v>24</v>
      </c>
      <c r="N2433">
        <v>-240</v>
      </c>
      <c r="O2433">
        <v>38</v>
      </c>
      <c r="P2433">
        <v>-240</v>
      </c>
      <c r="Q2433">
        <v>38</v>
      </c>
      <c r="R2433" t="s">
        <v>0</v>
      </c>
      <c r="S2433" t="s">
        <v>0</v>
      </c>
      <c r="T2433" t="s">
        <v>0</v>
      </c>
    </row>
    <row r="2434" spans="1:20" x14ac:dyDescent="0.25">
      <c r="A2434">
        <v>41800314</v>
      </c>
      <c r="B2434" t="s">
        <v>10</v>
      </c>
      <c r="C2434" t="s">
        <v>9</v>
      </c>
      <c r="D2434">
        <v>109</v>
      </c>
      <c r="E2434">
        <v>108</v>
      </c>
      <c r="F2434">
        <v>1</v>
      </c>
      <c r="G2434">
        <v>4</v>
      </c>
      <c r="H2434" s="1">
        <v>1.9791666666666668E-3</v>
      </c>
      <c r="I2434" t="s">
        <v>2</v>
      </c>
      <c r="J2434" t="s">
        <v>12</v>
      </c>
      <c r="K2434" s="2" t="str">
        <f>HYPERLINK("https://www.nba.com/stats/events?CFID=&amp;CFPARAMS=&amp;GameEventID=581&amp;GameID=0041800314&amp;Season=2018-19&amp;flag=1&amp;title=Lillard%2024'%203PT%20Jump%20Shot%20(26%20PTS)%20(Leonard%203%20AST)", "Lillard 24' 3PT Jump Shot (26 PTS) (Leonard 3 AST)")</f>
        <v>Lillard 24' 3PT Jump Shot (26 PTS) (Leonard 3 AST)</v>
      </c>
      <c r="L2434" s="2" t="str">
        <f>HYPERLINK("https://www.nba.com/game/...-vs-...-0041800314/play-by-play?watchFullGame=true", "POR vs GSW - Q4 02:51.00")</f>
        <v>POR vs GSW - Q4 02:51.00</v>
      </c>
      <c r="M2434">
        <v>24</v>
      </c>
      <c r="N2434">
        <v>-193</v>
      </c>
      <c r="O2434">
        <v>150</v>
      </c>
      <c r="P2434">
        <v>-193</v>
      </c>
      <c r="Q2434">
        <v>150</v>
      </c>
      <c r="R2434" t="s">
        <v>0</v>
      </c>
      <c r="S2434" t="s">
        <v>0</v>
      </c>
      <c r="T2434" t="s">
        <v>0</v>
      </c>
    </row>
    <row r="2435" spans="1:20" x14ac:dyDescent="0.25">
      <c r="A2435">
        <v>41600231</v>
      </c>
      <c r="B2435" t="s">
        <v>10</v>
      </c>
      <c r="C2435" t="s">
        <v>9</v>
      </c>
      <c r="D2435">
        <v>50</v>
      </c>
      <c r="E2435">
        <v>83</v>
      </c>
      <c r="F2435">
        <v>33</v>
      </c>
      <c r="G2435">
        <v>3</v>
      </c>
      <c r="H2435" s="1">
        <v>3.9120370370370368E-3</v>
      </c>
      <c r="I2435" t="s">
        <v>8</v>
      </c>
      <c r="J2435" t="s">
        <v>7</v>
      </c>
      <c r="K2435" s="2" t="str">
        <f>HYPERLINK("https://www.nba.com/stats/events?CFID=&amp;CFPARAMS=&amp;GameEventID=320&amp;GameID=0041600231&amp;Season=2016-17&amp;flag=1&amp;title=Green%203PT%20Jump%20Shot%20(5%20PTS)%20(Leonard%206%20AST)", "Green 3PT Jump Shot (5 PTS) (Leonard 6 AST)")</f>
        <v>Green 3PT Jump Shot (5 PTS) (Leonard 6 AST)</v>
      </c>
      <c r="L2435" s="2" t="str">
        <f>HYPERLINK("https://www.nba.com/game/...-vs-...-0041600231/play-by-play?watchFullGame=true", "SAS vs HOU - Q3 05:38.00")</f>
        <v>SAS vs HOU - Q3 05:38.00</v>
      </c>
      <c r="M2435">
        <v>0</v>
      </c>
      <c r="N2435">
        <v>-232</v>
      </c>
      <c r="O2435">
        <v>-10</v>
      </c>
      <c r="P2435">
        <v>-232</v>
      </c>
      <c r="Q2435">
        <v>-10</v>
      </c>
      <c r="R2435" t="s">
        <v>0</v>
      </c>
      <c r="S2435" t="s">
        <v>0</v>
      </c>
      <c r="T2435" t="s">
        <v>0</v>
      </c>
    </row>
    <row r="2436" spans="1:20" x14ac:dyDescent="0.25">
      <c r="A2436">
        <v>41800111</v>
      </c>
      <c r="B2436" t="s">
        <v>4</v>
      </c>
      <c r="C2436" t="s">
        <v>28</v>
      </c>
      <c r="D2436">
        <v>4</v>
      </c>
      <c r="E2436">
        <v>2</v>
      </c>
      <c r="F2436">
        <v>2</v>
      </c>
      <c r="G2436">
        <v>1</v>
      </c>
      <c r="H2436" s="1">
        <v>7.5810185185185182E-3</v>
      </c>
      <c r="I2436" t="s">
        <v>2</v>
      </c>
      <c r="J2436" t="s">
        <v>1</v>
      </c>
      <c r="K2436" s="2" t="str">
        <f>HYPERLINK("https://www.nba.com/stats/events?CFID=&amp;CFPARAMS=&amp;GameEventID=13&amp;GameID=0041800111&amp;Season=2018-19&amp;flag=1&amp;title=Siakam%203'%20Driving%20Finger%20Roll%20Layup%20(2%20PTS)%20(Leonard%201%20AST)", "Siakam 3' Driving Finger Roll Layup (2 PTS) (Leonard 1 AST)")</f>
        <v>Siakam 3' Driving Finger Roll Layup (2 PTS) (Leonard 1 AST)</v>
      </c>
      <c r="L2436" s="2" t="str">
        <f>HYPERLINK("https://www.nba.com/game/...-vs-...-0041800111/play-by-play?watchFullGame=true", "TOR vs ORL - Q1 10:55.00")</f>
        <v>TOR vs ORL - Q1 10:55.00</v>
      </c>
      <c r="M2436">
        <v>3</v>
      </c>
      <c r="N2436">
        <v>-8</v>
      </c>
      <c r="O2436">
        <v>26</v>
      </c>
      <c r="P2436">
        <v>-8</v>
      </c>
      <c r="Q2436">
        <v>26</v>
      </c>
      <c r="R2436" t="s">
        <v>0</v>
      </c>
      <c r="S2436" t="s">
        <v>0</v>
      </c>
      <c r="T2436" t="s">
        <v>0</v>
      </c>
    </row>
    <row r="2437" spans="1:20" x14ac:dyDescent="0.25">
      <c r="A2437">
        <v>41800211</v>
      </c>
      <c r="B2437" t="s">
        <v>4</v>
      </c>
      <c r="C2437" t="s">
        <v>6</v>
      </c>
      <c r="D2437">
        <v>61</v>
      </c>
      <c r="E2437">
        <v>50</v>
      </c>
      <c r="F2437">
        <v>11</v>
      </c>
      <c r="G2437">
        <v>2</v>
      </c>
      <c r="H2437" s="1">
        <v>7.9861111111111116E-4</v>
      </c>
      <c r="I2437" t="s">
        <v>2</v>
      </c>
      <c r="J2437" t="s">
        <v>1</v>
      </c>
      <c r="K2437" s="2" t="str">
        <f>HYPERLINK("https://www.nba.com/stats/events?CFID=&amp;CFPARAMS=&amp;GameEventID=304&amp;GameID=0041800211&amp;Season=2018-19&amp;flag=1&amp;title=Gasol%201'%20Cutting%20Dunk%20Shot%20(5%20PTS)%20(Leonard%201%20AST)", "Gasol 1' Cutting Dunk Shot (5 PTS) (Leonard 1 AST)")</f>
        <v>Gasol 1' Cutting Dunk Shot (5 PTS) (Leonard 1 AST)</v>
      </c>
      <c r="L2437" s="2" t="str">
        <f>HYPERLINK("https://www.nba.com/game/...-vs-...-0041800211/play-by-play?watchFullGame=true", "TOR vs PHI - Q2 01:09.00")</f>
        <v>TOR vs PHI - Q2 01:09.00</v>
      </c>
      <c r="M2437">
        <v>1</v>
      </c>
      <c r="N2437">
        <v>6</v>
      </c>
      <c r="O2437">
        <v>5</v>
      </c>
      <c r="P2437">
        <v>6</v>
      </c>
      <c r="Q2437">
        <v>5</v>
      </c>
      <c r="R2437" t="s">
        <v>0</v>
      </c>
      <c r="S2437" t="s">
        <v>0</v>
      </c>
      <c r="T2437" t="s">
        <v>0</v>
      </c>
    </row>
    <row r="2438" spans="1:20" x14ac:dyDescent="0.25">
      <c r="A2438">
        <v>41800212</v>
      </c>
      <c r="B2438" t="s">
        <v>10</v>
      </c>
      <c r="C2438" t="s">
        <v>9</v>
      </c>
      <c r="D2438">
        <v>58</v>
      </c>
      <c r="E2438">
        <v>61</v>
      </c>
      <c r="F2438">
        <v>3</v>
      </c>
      <c r="G2438">
        <v>3</v>
      </c>
      <c r="H2438" s="1">
        <v>2.5578703703703705E-3</v>
      </c>
      <c r="I2438" t="s">
        <v>2</v>
      </c>
      <c r="J2438" t="s">
        <v>1</v>
      </c>
      <c r="K2438" s="2" t="str">
        <f>HYPERLINK("https://www.nba.com/stats/events?CFID=&amp;CFPARAMS=&amp;GameEventID=424&amp;GameID=0041800212&amp;Season=2018-19&amp;flag=1&amp;title=Gasol%2025'%203PT%20Jump%20Shot%20(3%20PTS)%20(Leonard%203%20AST)", "Gasol 25' 3PT Jump Shot (3 PTS) (Leonard 3 AST)")</f>
        <v>Gasol 25' 3PT Jump Shot (3 PTS) (Leonard 3 AST)</v>
      </c>
      <c r="L2438" s="2" t="str">
        <f>HYPERLINK("https://www.nba.com/game/...-vs-...-0041800212/play-by-play?watchFullGame=true", "TOR vs PHI - Q3 03:41.00")</f>
        <v>TOR vs PHI - Q3 03:41.00</v>
      </c>
      <c r="M2438">
        <v>25</v>
      </c>
      <c r="N2438">
        <v>-150</v>
      </c>
      <c r="O2438">
        <v>205</v>
      </c>
      <c r="P2438">
        <v>-150</v>
      </c>
      <c r="Q2438">
        <v>205</v>
      </c>
      <c r="R2438" t="s">
        <v>0</v>
      </c>
      <c r="S2438" t="s">
        <v>0</v>
      </c>
      <c r="T2438" t="s">
        <v>0</v>
      </c>
    </row>
    <row r="2439" spans="1:20" x14ac:dyDescent="0.25">
      <c r="A2439">
        <v>41800216</v>
      </c>
      <c r="B2439" t="s">
        <v>4</v>
      </c>
      <c r="C2439" t="s">
        <v>20</v>
      </c>
      <c r="D2439">
        <v>67</v>
      </c>
      <c r="E2439">
        <v>87</v>
      </c>
      <c r="F2439">
        <v>20</v>
      </c>
      <c r="G2439">
        <v>3</v>
      </c>
      <c r="H2439" s="1">
        <v>2.4189814814814812E-4</v>
      </c>
      <c r="I2439" t="s">
        <v>2</v>
      </c>
      <c r="J2439" t="s">
        <v>1</v>
      </c>
      <c r="K2439" s="2" t="str">
        <f>HYPERLINK("https://www.nba.com/stats/events?CFID=&amp;CFPARAMS=&amp;GameEventID=477&amp;GameID=0041800216&amp;Season=2018-19&amp;flag=1&amp;title=Siakam%203'%20Cutting%20Layup%20Shot%20(19%20PTS)%20(Leonard%204%20AST)", "Siakam 3' Cutting Layup Shot (19 PTS) (Leonard 4 AST)")</f>
        <v>Siakam 3' Cutting Layup Shot (19 PTS) (Leonard 4 AST)</v>
      </c>
      <c r="L2439" s="2" t="str">
        <f>HYPERLINK("https://www.nba.com/game/...-vs-...-0041800216/play-by-play?watchFullGame=true", "TOR vs PHI - Q3 00:20.90")</f>
        <v>TOR vs PHI - Q3 00:20.90</v>
      </c>
      <c r="M2439">
        <v>3</v>
      </c>
      <c r="N2439">
        <v>-5</v>
      </c>
      <c r="O2439">
        <v>31</v>
      </c>
      <c r="P2439">
        <v>-5</v>
      </c>
      <c r="Q2439">
        <v>31</v>
      </c>
      <c r="R2439" t="s">
        <v>0</v>
      </c>
      <c r="S2439" t="s">
        <v>0</v>
      </c>
      <c r="T2439" t="s">
        <v>0</v>
      </c>
    </row>
    <row r="2440" spans="1:20" x14ac:dyDescent="0.25">
      <c r="A2440">
        <v>41800235</v>
      </c>
      <c r="B2440" t="s">
        <v>10</v>
      </c>
      <c r="C2440" t="s">
        <v>9</v>
      </c>
      <c r="D2440">
        <v>74</v>
      </c>
      <c r="E2440">
        <v>96</v>
      </c>
      <c r="F2440">
        <v>22</v>
      </c>
      <c r="G2440">
        <v>4</v>
      </c>
      <c r="H2440" s="1">
        <v>6.9560185185185185E-3</v>
      </c>
      <c r="I2440" t="s">
        <v>2</v>
      </c>
      <c r="J2440" t="s">
        <v>12</v>
      </c>
      <c r="K2440" s="2" t="str">
        <f>HYPERLINK("https://www.nba.com/stats/events?CFID=&amp;CFPARAMS=&amp;GameEventID=543&amp;GameID=0041800235&amp;Season=2018-19&amp;flag=1&amp;title=Collins%203PT%20Jump%20Shot%20(9%20PTS)%20(Leonard%201%20AST)", "Collins 3PT Jump Shot (9 PTS) (Leonard 1 AST)")</f>
        <v>Collins 3PT Jump Shot (9 PTS) (Leonard 1 AST)</v>
      </c>
      <c r="L2440" s="2" t="str">
        <f>HYPERLINK("https://www.nba.com/game/...-vs-...-0041800235/play-by-play?watchFullGame=true", "POR vs DEN - Q4 10:01.00")</f>
        <v>POR vs DEN - Q4 10:01.00</v>
      </c>
      <c r="M2440">
        <v>0</v>
      </c>
      <c r="N2440">
        <v>-222</v>
      </c>
      <c r="O2440">
        <v>-4</v>
      </c>
      <c r="P2440">
        <v>-222</v>
      </c>
      <c r="Q2440">
        <v>-4</v>
      </c>
      <c r="R2440" t="s">
        <v>0</v>
      </c>
      <c r="S2440" t="s">
        <v>0</v>
      </c>
      <c r="T2440" t="s">
        <v>0</v>
      </c>
    </row>
    <row r="2441" spans="1:20" x14ac:dyDescent="0.25">
      <c r="A2441">
        <v>41800312</v>
      </c>
      <c r="B2441" t="s">
        <v>10</v>
      </c>
      <c r="C2441" t="s">
        <v>9</v>
      </c>
      <c r="D2441">
        <v>105</v>
      </c>
      <c r="E2441">
        <v>98</v>
      </c>
      <c r="F2441">
        <v>7</v>
      </c>
      <c r="G2441">
        <v>4</v>
      </c>
      <c r="H2441" s="1">
        <v>3.8310185185185183E-3</v>
      </c>
      <c r="I2441" t="s">
        <v>2</v>
      </c>
      <c r="J2441" t="s">
        <v>12</v>
      </c>
      <c r="K2441" s="2" t="str">
        <f>HYPERLINK("https://www.nba.com/stats/events?CFID=&amp;CFPARAMS=&amp;GameEventID=570&amp;GameID=0041800312&amp;Season=2018-19&amp;flag=1&amp;title=Curry%2026'%203PT%20Jump%20Shot%20(13%20PTS)%20(Leonard%202%20AST)", "Curry 26' 3PT Jump Shot (13 PTS) (Leonard 2 AST)")</f>
        <v>Curry 26' 3PT Jump Shot (13 PTS) (Leonard 2 AST)</v>
      </c>
      <c r="L2441" s="2" t="str">
        <f>HYPERLINK("https://www.nba.com/game/...-vs-...-0041800312/play-by-play?watchFullGame=true", "POR vs GSW - Q4 05:31.00")</f>
        <v>POR vs GSW - Q4 05:31.00</v>
      </c>
      <c r="M2441">
        <v>26</v>
      </c>
      <c r="N2441">
        <v>-184</v>
      </c>
      <c r="O2441">
        <v>189</v>
      </c>
      <c r="P2441">
        <v>-184</v>
      </c>
      <c r="Q2441">
        <v>189</v>
      </c>
      <c r="R2441" t="s">
        <v>0</v>
      </c>
      <c r="S2441" t="s">
        <v>0</v>
      </c>
      <c r="T2441" t="s">
        <v>0</v>
      </c>
    </row>
    <row r="2442" spans="1:20" x14ac:dyDescent="0.25">
      <c r="A2442">
        <v>41800313</v>
      </c>
      <c r="B2442" t="s">
        <v>4</v>
      </c>
      <c r="C2442" t="s">
        <v>6</v>
      </c>
      <c r="D2442">
        <v>64</v>
      </c>
      <c r="E2442">
        <v>49</v>
      </c>
      <c r="F2442">
        <v>15</v>
      </c>
      <c r="G2442">
        <v>2</v>
      </c>
      <c r="H2442" s="1">
        <v>6.6435185185185184E-4</v>
      </c>
      <c r="I2442" t="s">
        <v>2</v>
      </c>
      <c r="J2442" t="s">
        <v>12</v>
      </c>
      <c r="K2442" s="2" t="str">
        <f>HYPERLINK("https://www.nba.com/stats/events?CFID=&amp;CFPARAMS=&amp;GameEventID=351&amp;GameID=0041800313&amp;Season=2018-19&amp;flag=1&amp;title=Harkless%201'%20Cutting%20Dunk%20Shot%20(6%20PTS)%20(Leonard%202%20AST)", "Harkless 1' Cutting Dunk Shot (6 PTS) (Leonard 2 AST)")</f>
        <v>Harkless 1' Cutting Dunk Shot (6 PTS) (Leonard 2 AST)</v>
      </c>
      <c r="L2442" s="2" t="str">
        <f>HYPERLINK("https://www.nba.com/game/...-vs-...-0041800313/play-by-play?watchFullGame=true", "POR vs GSW - Q2 00:57.40")</f>
        <v>POR vs GSW - Q2 00:57.40</v>
      </c>
      <c r="M2442">
        <v>1</v>
      </c>
      <c r="N2442">
        <v>-2</v>
      </c>
      <c r="O2442">
        <v>-5</v>
      </c>
      <c r="P2442">
        <v>-2</v>
      </c>
      <c r="Q2442">
        <v>-5</v>
      </c>
      <c r="R2442" t="s">
        <v>0</v>
      </c>
      <c r="S2442" t="s">
        <v>0</v>
      </c>
      <c r="T2442" t="s">
        <v>0</v>
      </c>
    </row>
    <row r="2443" spans="1:20" x14ac:dyDescent="0.25">
      <c r="A2443">
        <v>41800401</v>
      </c>
      <c r="B2443" t="s">
        <v>10</v>
      </c>
      <c r="C2443" t="s">
        <v>9</v>
      </c>
      <c r="D2443">
        <v>88</v>
      </c>
      <c r="E2443">
        <v>81</v>
      </c>
      <c r="F2443">
        <v>7</v>
      </c>
      <c r="G2443">
        <v>3</v>
      </c>
      <c r="H2443" s="1">
        <v>3.8888888888888892E-4</v>
      </c>
      <c r="I2443" t="s">
        <v>2</v>
      </c>
      <c r="J2443" t="s">
        <v>1</v>
      </c>
      <c r="K2443" s="2" t="str">
        <f>HYPERLINK("https://www.nba.com/stats/events?CFID=&amp;CFPARAMS=&amp;GameEventID=493&amp;GameID=0041800401&amp;Season=2018-19&amp;flag=1&amp;title=McCaw%2026'%203PT%20Jump%20Shot%20(3%20PTS)%20(Leonard%203%20AST)", "McCaw 26' 3PT Jump Shot (3 PTS) (Leonard 3 AST)")</f>
        <v>McCaw 26' 3PT Jump Shot (3 PTS) (Leonard 3 AST)</v>
      </c>
      <c r="L2443" s="2" t="str">
        <f>HYPERLINK("https://www.nba.com/game/...-vs-...-0041800401/play-by-play?watchFullGame=true", "TOR vs GSW - Q3 00:33.60")</f>
        <v>TOR vs GSW - Q3 00:33.60</v>
      </c>
      <c r="M2443">
        <v>26</v>
      </c>
      <c r="N2443">
        <v>-169</v>
      </c>
      <c r="O2443">
        <v>198</v>
      </c>
      <c r="P2443">
        <v>-169</v>
      </c>
      <c r="Q2443">
        <v>198</v>
      </c>
      <c r="R2443" t="s">
        <v>0</v>
      </c>
      <c r="S2443" t="s">
        <v>0</v>
      </c>
      <c r="T2443" t="s">
        <v>0</v>
      </c>
    </row>
    <row r="2444" spans="1:20" x14ac:dyDescent="0.25">
      <c r="A2444">
        <v>41800402</v>
      </c>
      <c r="B2444" t="s">
        <v>10</v>
      </c>
      <c r="C2444" t="s">
        <v>9</v>
      </c>
      <c r="D2444">
        <v>42</v>
      </c>
      <c r="E2444">
        <v>32</v>
      </c>
      <c r="F2444">
        <v>10</v>
      </c>
      <c r="G2444">
        <v>2</v>
      </c>
      <c r="H2444" s="1">
        <v>4.5601851851851853E-3</v>
      </c>
      <c r="I2444" t="s">
        <v>2</v>
      </c>
      <c r="J2444" t="s">
        <v>1</v>
      </c>
      <c r="K2444" s="2" t="str">
        <f>HYPERLINK("https://www.nba.com/stats/events?CFID=&amp;CFPARAMS=&amp;GameEventID=257&amp;GameID=0041800402&amp;Season=2018-19&amp;flag=1&amp;title=Lowry%2024'%203PT%20Jump%20Shot%20(9%20PTS)%20(Leonard%201%20AST)", "Lowry 24' 3PT Jump Shot (9 PTS) (Leonard 1 AST)")</f>
        <v>Lowry 24' 3PT Jump Shot (9 PTS) (Leonard 1 AST)</v>
      </c>
      <c r="L2444" s="2" t="str">
        <f>HYPERLINK("https://www.nba.com/game/...-vs-...-0041800402/play-by-play?watchFullGame=true", "TOR vs GSW - Q2 06:34.00")</f>
        <v>TOR vs GSW - Q2 06:34.00</v>
      </c>
      <c r="M2444">
        <v>24</v>
      </c>
      <c r="N2444">
        <v>-240</v>
      </c>
      <c r="O2444">
        <v>-3</v>
      </c>
      <c r="P2444">
        <v>-240</v>
      </c>
      <c r="Q2444">
        <v>-3</v>
      </c>
      <c r="R2444" t="s">
        <v>0</v>
      </c>
      <c r="S2444" t="s">
        <v>0</v>
      </c>
      <c r="T2444" t="s">
        <v>0</v>
      </c>
    </row>
    <row r="2445" spans="1:20" x14ac:dyDescent="0.25">
      <c r="A2445">
        <v>41800405</v>
      </c>
      <c r="B2445" t="s">
        <v>4</v>
      </c>
      <c r="C2445" t="s">
        <v>16</v>
      </c>
      <c r="D2445">
        <v>93</v>
      </c>
      <c r="E2445">
        <v>95</v>
      </c>
      <c r="F2445">
        <v>2</v>
      </c>
      <c r="G2445">
        <v>4</v>
      </c>
      <c r="H2445" s="1">
        <v>3.8888888888888888E-3</v>
      </c>
      <c r="I2445" t="s">
        <v>2</v>
      </c>
      <c r="J2445" t="s">
        <v>1</v>
      </c>
      <c r="K2445" s="2" t="str">
        <f>HYPERLINK("https://www.nba.com/stats/events?CFID=&amp;CFPARAMS=&amp;GameEventID=584&amp;GameID=0041800405&amp;Season=2018-19&amp;flag=1&amp;title=Powell%201'%20Running%20Dunk%20(2%20PTS)%20(Leonard%206%20AST)", "Powell 1' Running Dunk (2 PTS) (Leonard 6 AST)")</f>
        <v>Powell 1' Running Dunk (2 PTS) (Leonard 6 AST)</v>
      </c>
      <c r="L2445" s="2" t="str">
        <f>HYPERLINK("https://www.nba.com/game/...-vs-...-0041800405/play-by-play?watchFullGame=true", "TOR vs GSW - Q4 05:36.00")</f>
        <v>TOR vs GSW - Q4 05:36.00</v>
      </c>
      <c r="M2445">
        <v>1</v>
      </c>
      <c r="N2445">
        <v>11</v>
      </c>
      <c r="O2445">
        <v>5</v>
      </c>
      <c r="P2445">
        <v>11</v>
      </c>
      <c r="Q2445">
        <v>5</v>
      </c>
      <c r="R2445" t="s">
        <v>0</v>
      </c>
      <c r="S2445" t="s">
        <v>0</v>
      </c>
      <c r="T2445" t="s">
        <v>0</v>
      </c>
    </row>
    <row r="2446" spans="1:20" x14ac:dyDescent="0.25">
      <c r="A2446">
        <v>41500231</v>
      </c>
      <c r="B2446" t="s">
        <v>4</v>
      </c>
      <c r="C2446" t="s">
        <v>9</v>
      </c>
      <c r="D2446">
        <v>50</v>
      </c>
      <c r="E2446">
        <v>24</v>
      </c>
      <c r="F2446">
        <v>26</v>
      </c>
      <c r="G2446">
        <v>2</v>
      </c>
      <c r="H2446" s="1">
        <v>6.7245370370370367E-3</v>
      </c>
      <c r="I2446" t="s">
        <v>11</v>
      </c>
      <c r="J2446" t="s">
        <v>7</v>
      </c>
      <c r="K2446" s="2" t="str">
        <f>HYPERLINK("https://www.nba.com/stats/events?CFID=&amp;CFPARAMS=&amp;GameEventID=152&amp;GameID=0041500231&amp;Season=2015-16&amp;flag=1&amp;title=West%2019'%20Jump%20Shot%20(2%20PTS)%20(Leonard%201%20AST)", "West 19' Jump Shot (2 PTS) (Leonard 1 AST)")</f>
        <v>West 19' Jump Shot (2 PTS) (Leonard 1 AST)</v>
      </c>
      <c r="L2446" s="2" t="str">
        <f>HYPERLINK("https://www.nba.com/game/...-vs-...-0041500231/play-by-play?watchFullGame=true", "SAS vs OKC - Q2 09:41.00")</f>
        <v>SAS vs OKC - Q2 09:41.00</v>
      </c>
      <c r="M2446">
        <v>19</v>
      </c>
      <c r="N2446">
        <v>-7</v>
      </c>
      <c r="O2446">
        <v>190</v>
      </c>
      <c r="P2446">
        <v>-7</v>
      </c>
      <c r="Q2446">
        <v>190</v>
      </c>
      <c r="R2446" t="s">
        <v>0</v>
      </c>
      <c r="S2446" t="s">
        <v>0</v>
      </c>
      <c r="T2446" t="s">
        <v>0</v>
      </c>
    </row>
    <row r="2447" spans="1:20" x14ac:dyDescent="0.25">
      <c r="A2447">
        <v>41500231</v>
      </c>
      <c r="B2447" t="s">
        <v>10</v>
      </c>
      <c r="C2447" t="s">
        <v>9</v>
      </c>
      <c r="D2447">
        <v>82</v>
      </c>
      <c r="E2447">
        <v>51</v>
      </c>
      <c r="F2447">
        <v>31</v>
      </c>
      <c r="G2447">
        <v>3</v>
      </c>
      <c r="H2447" s="1">
        <v>5.3587962962962964E-3</v>
      </c>
      <c r="I2447" t="s">
        <v>11</v>
      </c>
      <c r="J2447" t="s">
        <v>7</v>
      </c>
      <c r="K2447" s="2" t="str">
        <f>HYPERLINK("https://www.nba.com/stats/events?CFID=&amp;CFPARAMS=&amp;GameEventID=273&amp;GameID=0041500231&amp;Season=2015-16&amp;flag=1&amp;title=Aldridge%2024'%203PT%20Jump%20Shot%20(32%20PTS)%20(Leonard%205%20AST)", "Aldridge 24' 3PT Jump Shot (32 PTS) (Leonard 5 AST)")</f>
        <v>Aldridge 24' 3PT Jump Shot (32 PTS) (Leonard 5 AST)</v>
      </c>
      <c r="L2447" s="2" t="str">
        <f>HYPERLINK("https://www.nba.com/game/...-vs-...-0041500231/play-by-play?watchFullGame=true", "SAS vs OKC - Q3 07:43.00")</f>
        <v>SAS vs OKC - Q3 07:43.00</v>
      </c>
      <c r="M2447">
        <v>24</v>
      </c>
      <c r="N2447">
        <v>-243</v>
      </c>
      <c r="O2447">
        <v>18</v>
      </c>
      <c r="P2447">
        <v>-243</v>
      </c>
      <c r="Q2447">
        <v>18</v>
      </c>
      <c r="R2447" t="s">
        <v>0</v>
      </c>
      <c r="S2447" t="s">
        <v>0</v>
      </c>
      <c r="T2447" t="s">
        <v>0</v>
      </c>
    </row>
    <row r="2448" spans="1:20" x14ac:dyDescent="0.25">
      <c r="A2448">
        <v>41600231</v>
      </c>
      <c r="B2448" t="s">
        <v>10</v>
      </c>
      <c r="C2448" t="s">
        <v>9</v>
      </c>
      <c r="D2448">
        <v>34</v>
      </c>
      <c r="E2448">
        <v>58</v>
      </c>
      <c r="F2448">
        <v>24</v>
      </c>
      <c r="G2448">
        <v>2</v>
      </c>
      <c r="H2448" s="1">
        <v>3.6226851851851854E-3</v>
      </c>
      <c r="I2448" t="s">
        <v>8</v>
      </c>
      <c r="J2448" t="s">
        <v>7</v>
      </c>
      <c r="K2448" s="2" t="str">
        <f>HYPERLINK("https://www.nba.com/stats/events?CFID=&amp;CFPARAMS=&amp;GameEventID=187&amp;GameID=0041600231&amp;Season=2016-17&amp;flag=1&amp;title=Ginobili%203PT%20Jump%20Shot%20(7%20PTS)%20(Leonard%202%20AST)", "Ginobili 3PT Jump Shot (7 PTS) (Leonard 2 AST)")</f>
        <v>Ginobili 3PT Jump Shot (7 PTS) (Leonard 2 AST)</v>
      </c>
      <c r="L2448" s="2" t="str">
        <f>HYPERLINK("https://www.nba.com/game/...-vs-...-0041600231/play-by-play?watchFullGame=true", "SAS vs HOU - Q2 05:13.00")</f>
        <v>SAS vs HOU - Q2 05:13.00</v>
      </c>
      <c r="M2448">
        <v>0</v>
      </c>
      <c r="N2448">
        <v>225</v>
      </c>
      <c r="O2448">
        <v>2</v>
      </c>
      <c r="P2448">
        <v>225</v>
      </c>
      <c r="Q2448">
        <v>2</v>
      </c>
      <c r="R2448" t="s">
        <v>0</v>
      </c>
      <c r="S2448" t="s">
        <v>0</v>
      </c>
      <c r="T2448" t="s">
        <v>0</v>
      </c>
    </row>
    <row r="2449" spans="1:20" x14ac:dyDescent="0.25">
      <c r="A2449">
        <v>41600232</v>
      </c>
      <c r="B2449" t="s">
        <v>4</v>
      </c>
      <c r="C2449" t="s">
        <v>28</v>
      </c>
      <c r="D2449">
        <v>12</v>
      </c>
      <c r="E2449">
        <v>12</v>
      </c>
      <c r="F2449">
        <v>0</v>
      </c>
      <c r="G2449">
        <v>1</v>
      </c>
      <c r="H2449" s="1">
        <v>5.7523148148148151E-3</v>
      </c>
      <c r="I2449" t="s">
        <v>8</v>
      </c>
      <c r="J2449" t="s">
        <v>7</v>
      </c>
      <c r="K2449" s="2" t="str">
        <f>HYPERLINK("https://www.nba.com/stats/events?CFID=&amp;CFPARAMS=&amp;GameEventID=25&amp;GameID=0041600232&amp;Season=2016-17&amp;flag=1&amp;title=Green%201'%20Driving%20Finger%20Roll%20Layup%20(4%20PTS)%20(Leonard%201%20AST)", "Green 1' Driving Finger Roll Layup (4 PTS) (Leonard 1 AST)")</f>
        <v>Green 1' Driving Finger Roll Layup (4 PTS) (Leonard 1 AST)</v>
      </c>
      <c r="L2449" s="2" t="str">
        <f>HYPERLINK("https://www.nba.com/game/...-vs-...-0041600232/play-by-play?watchFullGame=true", "SAS vs HOU - Q1 08:17.00")</f>
        <v>SAS vs HOU - Q1 08:17.00</v>
      </c>
      <c r="M2449">
        <v>1</v>
      </c>
      <c r="N2449">
        <v>-2</v>
      </c>
      <c r="O2449">
        <v>-6</v>
      </c>
      <c r="P2449">
        <v>-2</v>
      </c>
      <c r="Q2449">
        <v>-6</v>
      </c>
      <c r="R2449" t="s">
        <v>0</v>
      </c>
      <c r="S2449" t="s">
        <v>0</v>
      </c>
      <c r="T2449" t="s">
        <v>0</v>
      </c>
    </row>
    <row r="2450" spans="1:20" x14ac:dyDescent="0.25">
      <c r="A2450">
        <v>41600234</v>
      </c>
      <c r="B2450" t="s">
        <v>4</v>
      </c>
      <c r="C2450" t="s">
        <v>23</v>
      </c>
      <c r="D2450">
        <v>51</v>
      </c>
      <c r="E2450">
        <v>54</v>
      </c>
      <c r="F2450">
        <v>3</v>
      </c>
      <c r="G2450">
        <v>2</v>
      </c>
      <c r="H2450" s="1">
        <v>1.0995370370370371E-3</v>
      </c>
      <c r="I2450" t="s">
        <v>8</v>
      </c>
      <c r="J2450" t="s">
        <v>7</v>
      </c>
      <c r="K2450" s="2" t="str">
        <f>HYPERLINK("https://www.nba.com/stats/events?CFID=&amp;CFPARAMS=&amp;GameEventID=257&amp;GameID=0041600234&amp;Season=2016-17&amp;flag=1&amp;title=Murray%201'%20Driving%20Layup%20(6%20PTS)%20(Leonard%204%20AST)", "Murray 1' Driving Layup (6 PTS) (Leonard 4 AST)")</f>
        <v>Murray 1' Driving Layup (6 PTS) (Leonard 4 AST)</v>
      </c>
      <c r="L2450" s="2" t="str">
        <f>HYPERLINK("https://www.nba.com/game/...-vs-...-0041600234/play-by-play?watchFullGame=true", "SAS vs HOU - Q2 01:35.00")</f>
        <v>SAS vs HOU - Q2 01:35.00</v>
      </c>
      <c r="M2450">
        <v>1</v>
      </c>
      <c r="N2450">
        <v>9</v>
      </c>
      <c r="O2450">
        <v>-6</v>
      </c>
      <c r="P2450">
        <v>9</v>
      </c>
      <c r="Q2450">
        <v>-6</v>
      </c>
      <c r="R2450" t="s">
        <v>0</v>
      </c>
      <c r="S2450" t="s">
        <v>0</v>
      </c>
      <c r="T2450" t="s">
        <v>0</v>
      </c>
    </row>
    <row r="2451" spans="1:20" x14ac:dyDescent="0.25">
      <c r="A2451">
        <v>41800217</v>
      </c>
      <c r="B2451" t="s">
        <v>4</v>
      </c>
      <c r="C2451" t="s">
        <v>5</v>
      </c>
      <c r="D2451">
        <v>59</v>
      </c>
      <c r="E2451">
        <v>60</v>
      </c>
      <c r="F2451">
        <v>1</v>
      </c>
      <c r="G2451">
        <v>3</v>
      </c>
      <c r="H2451" s="1">
        <v>1.4467592592592592E-3</v>
      </c>
      <c r="I2451" t="s">
        <v>2</v>
      </c>
      <c r="J2451" t="s">
        <v>1</v>
      </c>
      <c r="K2451" s="2" t="str">
        <f>HYPERLINK("https://www.nba.com/stats/events?CFID=&amp;CFPARAMS=&amp;GameEventID=432&amp;GameID=0041800217&amp;Season=2018-19&amp;flag=1&amp;title=Gasol%203'%20Layup%20(4%20PTS)%20(Leonard%202%20AST)", "Gasol 3' Layup (4 PTS) (Leonard 2 AST)")</f>
        <v>Gasol 3' Layup (4 PTS) (Leonard 2 AST)</v>
      </c>
      <c r="L2451" s="2" t="str">
        <f>HYPERLINK("https://www.nba.com/game/...-vs-...-0041800217/play-by-play?watchFullGame=true", "TOR vs PHI - Q3 02:05.00")</f>
        <v>TOR vs PHI - Q3 02:05.00</v>
      </c>
      <c r="M2451">
        <v>3</v>
      </c>
      <c r="N2451">
        <v>11</v>
      </c>
      <c r="O2451">
        <v>25</v>
      </c>
      <c r="P2451">
        <v>11</v>
      </c>
      <c r="Q2451">
        <v>25</v>
      </c>
      <c r="R2451" t="s">
        <v>0</v>
      </c>
      <c r="S2451" t="s">
        <v>0</v>
      </c>
      <c r="T2451" t="s">
        <v>0</v>
      </c>
    </row>
    <row r="2452" spans="1:20" x14ac:dyDescent="0.25">
      <c r="A2452">
        <v>41800304</v>
      </c>
      <c r="B2452" t="s">
        <v>4</v>
      </c>
      <c r="C2452" t="s">
        <v>6</v>
      </c>
      <c r="D2452">
        <v>43</v>
      </c>
      <c r="E2452">
        <v>33</v>
      </c>
      <c r="F2452">
        <v>10</v>
      </c>
      <c r="G2452">
        <v>2</v>
      </c>
      <c r="H2452" s="1">
        <v>6.1574074074074074E-3</v>
      </c>
      <c r="I2452" t="s">
        <v>2</v>
      </c>
      <c r="J2452" t="s">
        <v>1</v>
      </c>
      <c r="K2452" s="2" t="str">
        <f>HYPERLINK("https://www.nba.com/stats/events?CFID=&amp;CFPARAMS=&amp;GameEventID=213&amp;GameID=0041800304&amp;Season=2018-19&amp;flag=1&amp;title=Ibaka%201'%20Cutting%20Dunk%20Shot%20(8%20PTS)%20(Leonard%201%20AST)", "Ibaka 1' Cutting Dunk Shot (8 PTS) (Leonard 1 AST)")</f>
        <v>Ibaka 1' Cutting Dunk Shot (8 PTS) (Leonard 1 AST)</v>
      </c>
      <c r="L2452" s="2" t="str">
        <f>HYPERLINK("https://www.nba.com/game/...-vs-...-0041800304/play-by-play?watchFullGame=true", "TOR vs MIL - Q2 08:52.00")</f>
        <v>TOR vs MIL - Q2 08:52.00</v>
      </c>
      <c r="M2452">
        <v>1</v>
      </c>
      <c r="N2452">
        <v>-11</v>
      </c>
      <c r="O2452">
        <v>0</v>
      </c>
      <c r="P2452">
        <v>-11</v>
      </c>
      <c r="Q2452">
        <v>0</v>
      </c>
      <c r="R2452" t="s">
        <v>0</v>
      </c>
      <c r="S2452" t="s">
        <v>0</v>
      </c>
      <c r="T2452" t="s">
        <v>0</v>
      </c>
    </row>
    <row r="2453" spans="1:20" x14ac:dyDescent="0.25">
      <c r="A2453">
        <v>41800406</v>
      </c>
      <c r="B2453" t="s">
        <v>4</v>
      </c>
      <c r="C2453" t="s">
        <v>36</v>
      </c>
      <c r="D2453">
        <v>86</v>
      </c>
      <c r="E2453">
        <v>88</v>
      </c>
      <c r="F2453">
        <v>2</v>
      </c>
      <c r="G2453">
        <v>3</v>
      </c>
      <c r="H2453" s="1">
        <v>3.5532407407407409E-4</v>
      </c>
      <c r="I2453" t="s">
        <v>2</v>
      </c>
      <c r="J2453" t="s">
        <v>1</v>
      </c>
      <c r="K2453" s="2" t="str">
        <f>HYPERLINK("https://www.nba.com/stats/events?CFID=&amp;CFPARAMS=&amp;GameEventID=480&amp;GameID=0041800406&amp;Season=2018-19&amp;flag=1&amp;title=Lowry%202'%20Running%20Layup%20(24%20PTS)%20(Leonard%203%20AST)", "Lowry 2' Running Layup (24 PTS) (Leonard 3 AST)")</f>
        <v>Lowry 2' Running Layup (24 PTS) (Leonard 3 AST)</v>
      </c>
      <c r="L2453" s="2" t="str">
        <f>HYPERLINK("https://www.nba.com/game/...-vs-...-0041800406/play-by-play?watchFullGame=true", "TOR vs GSW - Q3 00:30.70")</f>
        <v>TOR vs GSW - Q3 00:30.70</v>
      </c>
      <c r="M2453">
        <v>2</v>
      </c>
      <c r="N2453">
        <v>1</v>
      </c>
      <c r="O2453">
        <v>20</v>
      </c>
      <c r="P2453">
        <v>1</v>
      </c>
      <c r="Q2453">
        <v>20</v>
      </c>
      <c r="R2453" t="s">
        <v>0</v>
      </c>
      <c r="S2453" t="s">
        <v>0</v>
      </c>
      <c r="T2453" t="s">
        <v>0</v>
      </c>
    </row>
    <row r="2454" spans="1:20" x14ac:dyDescent="0.25">
      <c r="A2454">
        <v>41500233</v>
      </c>
      <c r="B2454" t="s">
        <v>4</v>
      </c>
      <c r="C2454" t="s">
        <v>5</v>
      </c>
      <c r="D2454">
        <v>49</v>
      </c>
      <c r="E2454">
        <v>42</v>
      </c>
      <c r="F2454">
        <v>7</v>
      </c>
      <c r="G2454">
        <v>3</v>
      </c>
      <c r="H2454" s="1">
        <v>7.9745370370370369E-3</v>
      </c>
      <c r="I2454" t="s">
        <v>11</v>
      </c>
      <c r="J2454" t="s">
        <v>7</v>
      </c>
      <c r="K2454" s="2" t="str">
        <f>HYPERLINK("https://www.nba.com/stats/events?CFID=&amp;CFPARAMS=&amp;GameEventID=254&amp;GameID=0041500233&amp;Season=2015-16&amp;flag=1&amp;title=Duncan%201'%20Layup%20(2%20PTS)%20(Leonard%201%20AST)", "Duncan 1' Layup (2 PTS) (Leonard 1 AST)")</f>
        <v>Duncan 1' Layup (2 PTS) (Leonard 1 AST)</v>
      </c>
      <c r="L2454" s="2" t="str">
        <f>HYPERLINK("https://www.nba.com/game/...-vs-...-0041500233/play-by-play?watchFullGame=true", "SAS vs OKC - Q3 11:29.00")</f>
        <v>SAS vs OKC - Q3 11:29.00</v>
      </c>
      <c r="M2454">
        <v>1</v>
      </c>
      <c r="N2454">
        <v>6</v>
      </c>
      <c r="O2454">
        <v>0</v>
      </c>
      <c r="P2454">
        <v>6</v>
      </c>
      <c r="Q2454">
        <v>0</v>
      </c>
      <c r="R2454" t="s">
        <v>0</v>
      </c>
      <c r="S2454" t="s">
        <v>0</v>
      </c>
      <c r="T2454" t="s">
        <v>0</v>
      </c>
    </row>
    <row r="2455" spans="1:20" x14ac:dyDescent="0.25">
      <c r="A2455">
        <v>41600232</v>
      </c>
      <c r="B2455" t="s">
        <v>10</v>
      </c>
      <c r="C2455" t="s">
        <v>9</v>
      </c>
      <c r="D2455">
        <v>53</v>
      </c>
      <c r="E2455">
        <v>46</v>
      </c>
      <c r="F2455">
        <v>7</v>
      </c>
      <c r="G2455">
        <v>2</v>
      </c>
      <c r="H2455" s="1">
        <v>3.8773148148148148E-3</v>
      </c>
      <c r="I2455" t="s">
        <v>8</v>
      </c>
      <c r="J2455" t="s">
        <v>7</v>
      </c>
      <c r="K2455" s="2" t="str">
        <f>HYPERLINK("https://www.nba.com/stats/events?CFID=&amp;CFPARAMS=&amp;GameEventID=155&amp;GameID=0041600232&amp;Season=2016-17&amp;flag=1&amp;title=Green%2024'%203PT%20Jump%20Shot%20(12%20PTS)%20(Leonard%204%20AST)", "Green 24' 3PT Jump Shot (12 PTS) (Leonard 4 AST)")</f>
        <v>Green 24' 3PT Jump Shot (12 PTS) (Leonard 4 AST)</v>
      </c>
      <c r="L2455" s="2" t="str">
        <f>HYPERLINK("https://www.nba.com/game/...-vs-...-0041600232/play-by-play?watchFullGame=true", "SAS vs HOU - Q2 05:35.00")</f>
        <v>SAS vs HOU - Q2 05:35.00</v>
      </c>
      <c r="M2455">
        <v>24</v>
      </c>
      <c r="N2455">
        <v>-238</v>
      </c>
      <c r="O2455">
        <v>-1</v>
      </c>
      <c r="P2455">
        <v>-238</v>
      </c>
      <c r="Q2455">
        <v>-1</v>
      </c>
      <c r="R2455" t="s">
        <v>0</v>
      </c>
      <c r="S2455" t="s">
        <v>0</v>
      </c>
      <c r="T2455" t="s">
        <v>0</v>
      </c>
    </row>
    <row r="2456" spans="1:20" x14ac:dyDescent="0.25">
      <c r="A2456">
        <v>41800216</v>
      </c>
      <c r="B2456" t="s">
        <v>4</v>
      </c>
      <c r="C2456" t="s">
        <v>17</v>
      </c>
      <c r="D2456">
        <v>33</v>
      </c>
      <c r="E2456">
        <v>42</v>
      </c>
      <c r="F2456">
        <v>9</v>
      </c>
      <c r="G2456">
        <v>2</v>
      </c>
      <c r="H2456" s="1">
        <v>4.5138888888888885E-3</v>
      </c>
      <c r="I2456" t="s">
        <v>2</v>
      </c>
      <c r="J2456" t="s">
        <v>1</v>
      </c>
      <c r="K2456" s="2" t="str">
        <f>HYPERLINK("https://www.nba.com/stats/events?CFID=&amp;CFPARAMS=&amp;GameEventID=228&amp;GameID=0041800216&amp;Season=2018-19&amp;flag=1&amp;title=Ibaka%207'%20Floating%20Jump%20Shot%20(7%20PTS)%20(Leonard%202%20AST)", "Ibaka 7' Floating Jump Shot (7 PTS) (Leonard 2 AST)")</f>
        <v>Ibaka 7' Floating Jump Shot (7 PTS) (Leonard 2 AST)</v>
      </c>
      <c r="L2456" s="2" t="str">
        <f>HYPERLINK("https://www.nba.com/game/...-vs-...-0041800216/play-by-play?watchFullGame=true", "TOR vs PHI - Q2 06:30.00")</f>
        <v>TOR vs PHI - Q2 06:30.00</v>
      </c>
      <c r="M2456">
        <v>7</v>
      </c>
      <c r="N2456">
        <v>-6</v>
      </c>
      <c r="O2456">
        <v>69</v>
      </c>
      <c r="P2456">
        <v>-6</v>
      </c>
      <c r="Q2456">
        <v>69</v>
      </c>
      <c r="R2456" t="s">
        <v>0</v>
      </c>
      <c r="S2456" t="s">
        <v>0</v>
      </c>
      <c r="T2456" t="s">
        <v>0</v>
      </c>
    </row>
    <row r="2457" spans="1:20" x14ac:dyDescent="0.25">
      <c r="A2457">
        <v>41800303</v>
      </c>
      <c r="B2457" t="s">
        <v>10</v>
      </c>
      <c r="C2457" t="s">
        <v>9</v>
      </c>
      <c r="D2457">
        <v>5</v>
      </c>
      <c r="E2457">
        <v>2</v>
      </c>
      <c r="F2457">
        <v>3</v>
      </c>
      <c r="G2457">
        <v>1</v>
      </c>
      <c r="H2457" s="1">
        <v>7.2337962962962963E-3</v>
      </c>
      <c r="I2457" t="s">
        <v>2</v>
      </c>
      <c r="J2457" t="s">
        <v>1</v>
      </c>
      <c r="K2457" s="2" t="str">
        <f>HYPERLINK("https://www.nba.com/stats/events?CFID=&amp;CFPARAMS=&amp;GameEventID=17&amp;GameID=0041800303&amp;Season=2018-19&amp;flag=1&amp;title=Gasol%2026'%203PT%20Jump%20Shot%20(3%20PTS)%20(Leonard%201%20AST)", "Gasol 26' 3PT Jump Shot (3 PTS) (Leonard 1 AST)")</f>
        <v>Gasol 26' 3PT Jump Shot (3 PTS) (Leonard 1 AST)</v>
      </c>
      <c r="L2457" s="2" t="str">
        <f>HYPERLINK("https://www.nba.com/game/...-vs-...-0041800303/play-by-play?watchFullGame=true", "TOR vs MIL - Q1 10:25.00")</f>
        <v>TOR vs MIL - Q1 10:25.00</v>
      </c>
      <c r="M2457">
        <v>26</v>
      </c>
      <c r="N2457">
        <v>34</v>
      </c>
      <c r="O2457">
        <v>255</v>
      </c>
      <c r="P2457">
        <v>34</v>
      </c>
      <c r="Q2457">
        <v>255</v>
      </c>
      <c r="R2457" t="s">
        <v>0</v>
      </c>
      <c r="S2457" t="s">
        <v>0</v>
      </c>
      <c r="T2457" t="s">
        <v>0</v>
      </c>
    </row>
    <row r="2458" spans="1:20" x14ac:dyDescent="0.25">
      <c r="A2458">
        <v>41800313</v>
      </c>
      <c r="B2458" t="s">
        <v>4</v>
      </c>
      <c r="C2458" t="s">
        <v>23</v>
      </c>
      <c r="D2458">
        <v>84</v>
      </c>
      <c r="E2458">
        <v>90</v>
      </c>
      <c r="F2458">
        <v>6</v>
      </c>
      <c r="G2458">
        <v>4</v>
      </c>
      <c r="H2458" s="1">
        <v>4.9768518518518521E-3</v>
      </c>
      <c r="I2458" t="s">
        <v>2</v>
      </c>
      <c r="J2458" t="s">
        <v>12</v>
      </c>
      <c r="K2458" s="2" t="str">
        <f>HYPERLINK("https://www.nba.com/stats/events?CFID=&amp;CFPARAMS=&amp;GameEventID=579&amp;GameID=0041800313&amp;Season=2018-19&amp;flag=1&amp;title=McCollum%202'%20Driving%20Layup%20(19%20PTS)%20(Leonard%204%20AST)", "McCollum 2' Driving Layup (19 PTS) (Leonard 4 AST)")</f>
        <v>McCollum 2' Driving Layup (19 PTS) (Leonard 4 AST)</v>
      </c>
      <c r="L2458" s="2" t="str">
        <f>HYPERLINK("https://www.nba.com/game/...-vs-...-0041800313/play-by-play?watchFullGame=true", "POR vs GSW - Q4 07:10.00")</f>
        <v>POR vs GSW - Q4 07:10.00</v>
      </c>
      <c r="M2458">
        <v>2</v>
      </c>
      <c r="N2458">
        <v>12</v>
      </c>
      <c r="O2458">
        <v>9</v>
      </c>
      <c r="P2458">
        <v>12</v>
      </c>
      <c r="Q2458">
        <v>9</v>
      </c>
      <c r="R2458" t="s">
        <v>0</v>
      </c>
      <c r="S2458" t="s">
        <v>0</v>
      </c>
      <c r="T2458" t="s">
        <v>0</v>
      </c>
    </row>
    <row r="2459" spans="1:20" x14ac:dyDescent="0.25">
      <c r="A2459">
        <v>41800403</v>
      </c>
      <c r="B2459" t="s">
        <v>10</v>
      </c>
      <c r="C2459" t="s">
        <v>9</v>
      </c>
      <c r="D2459">
        <v>89</v>
      </c>
      <c r="E2459">
        <v>75</v>
      </c>
      <c r="F2459">
        <v>14</v>
      </c>
      <c r="G2459">
        <v>3</v>
      </c>
      <c r="H2459" s="1">
        <v>1.3541666666666667E-3</v>
      </c>
      <c r="I2459" t="s">
        <v>2</v>
      </c>
      <c r="J2459" t="s">
        <v>1</v>
      </c>
      <c r="K2459" s="2" t="str">
        <f>HYPERLINK("https://www.nba.com/stats/events?CFID=&amp;CFPARAMS=&amp;GameEventID=466&amp;GameID=0041800403&amp;Season=2018-19&amp;flag=1&amp;title=Green%203PT%20Jump%20Shot%20(15%20PTS)%20(Leonard%204%20AST)", "Green 3PT Jump Shot (15 PTS) (Leonard 4 AST)")</f>
        <v>Green 3PT Jump Shot (15 PTS) (Leonard 4 AST)</v>
      </c>
      <c r="L2459" s="2" t="str">
        <f>HYPERLINK("https://www.nba.com/game/...-vs-...-0041800403/play-by-play?watchFullGame=true", "TOR vs GSW - Q3 01:57.00")</f>
        <v>TOR vs GSW - Q3 01:57.00</v>
      </c>
      <c r="M2459">
        <v>0</v>
      </c>
      <c r="N2459">
        <v>234</v>
      </c>
      <c r="O2459">
        <v>20</v>
      </c>
      <c r="P2459">
        <v>234</v>
      </c>
      <c r="Q2459">
        <v>20</v>
      </c>
      <c r="R2459" t="s">
        <v>0</v>
      </c>
      <c r="S2459" t="s">
        <v>0</v>
      </c>
      <c r="T2459" t="s">
        <v>0</v>
      </c>
    </row>
    <row r="2460" spans="1:20" x14ac:dyDescent="0.25">
      <c r="A2460">
        <v>41800405</v>
      </c>
      <c r="B2460" t="s">
        <v>4</v>
      </c>
      <c r="C2460" t="s">
        <v>32</v>
      </c>
      <c r="D2460">
        <v>56</v>
      </c>
      <c r="E2460">
        <v>57</v>
      </c>
      <c r="F2460">
        <v>1</v>
      </c>
      <c r="G2460">
        <v>2</v>
      </c>
      <c r="H2460" s="1">
        <v>5.0115740740740741E-4</v>
      </c>
      <c r="I2460" t="s">
        <v>2</v>
      </c>
      <c r="J2460" t="s">
        <v>1</v>
      </c>
      <c r="K2460" s="2" t="str">
        <f>HYPERLINK("https://www.nba.com/stats/events?CFID=&amp;CFPARAMS=&amp;GameEventID=357&amp;GameID=0041800405&amp;Season=2018-19&amp;flag=1&amp;title=Siakam%201'%20Hook%20Bank%20Shot%20(10%20PTS)%20(Leonard%205%20AST)", "Siakam 1' Hook Bank Shot (10 PTS) (Leonard 5 AST)")</f>
        <v>Siakam 1' Hook Bank Shot (10 PTS) (Leonard 5 AST)</v>
      </c>
      <c r="L2460" s="2" t="str">
        <f>HYPERLINK("https://www.nba.com/game/...-vs-...-0041800405/play-by-play?watchFullGame=true", "TOR vs GSW - Q2 00:43.30")</f>
        <v>TOR vs GSW - Q2 00:43.30</v>
      </c>
      <c r="M2460">
        <v>1</v>
      </c>
      <c r="N2460">
        <v>13</v>
      </c>
      <c r="O2460">
        <v>2</v>
      </c>
      <c r="P2460">
        <v>13</v>
      </c>
      <c r="Q2460">
        <v>2</v>
      </c>
      <c r="R2460" t="s">
        <v>0</v>
      </c>
      <c r="S2460" t="s">
        <v>0</v>
      </c>
      <c r="T2460" t="s">
        <v>0</v>
      </c>
    </row>
    <row r="2461" spans="1:20" x14ac:dyDescent="0.25">
      <c r="A2461">
        <v>41800301</v>
      </c>
      <c r="B2461" t="s">
        <v>4</v>
      </c>
      <c r="C2461" t="s">
        <v>9</v>
      </c>
      <c r="D2461">
        <v>34</v>
      </c>
      <c r="E2461">
        <v>23</v>
      </c>
      <c r="F2461">
        <v>11</v>
      </c>
      <c r="G2461">
        <v>1</v>
      </c>
      <c r="H2461" s="1">
        <v>0</v>
      </c>
      <c r="I2461" t="s">
        <v>2</v>
      </c>
      <c r="J2461" t="s">
        <v>1</v>
      </c>
      <c r="K2461" s="2" t="str">
        <f>HYPERLINK("https://www.nba.com/stats/events?CFID=&amp;CFPARAMS=&amp;GameEventID=156&amp;GameID=0041800301&amp;Season=2018-19&amp;flag=1&amp;title=Ibaka%2018'%20Jump%20Shot%20(4%20PTS)%20(Leonard%201%20AST)", "Ibaka 18' Jump Shot (4 PTS) (Leonard 1 AST)")</f>
        <v>Ibaka 18' Jump Shot (4 PTS) (Leonard 1 AST)</v>
      </c>
      <c r="L2461" s="2" t="str">
        <f>HYPERLINK("https://www.nba.com/game/...-vs-...-0041800301/play-by-play?watchFullGame=true", "TOR vs MIL - Q1 00:00.00")</f>
        <v>TOR vs MIL - Q1 00:00.00</v>
      </c>
      <c r="M2461">
        <v>18</v>
      </c>
      <c r="N2461">
        <v>-98</v>
      </c>
      <c r="O2461">
        <v>147</v>
      </c>
      <c r="P2461">
        <v>-98</v>
      </c>
      <c r="Q2461">
        <v>147</v>
      </c>
      <c r="R2461" t="s">
        <v>0</v>
      </c>
      <c r="S2461" t="s">
        <v>0</v>
      </c>
      <c r="T2461" t="s">
        <v>0</v>
      </c>
    </row>
    <row r="2462" spans="1:20" x14ac:dyDescent="0.25">
      <c r="A2462">
        <v>41800303</v>
      </c>
      <c r="B2462" t="s">
        <v>4</v>
      </c>
      <c r="C2462" t="s">
        <v>33</v>
      </c>
      <c r="D2462">
        <v>45</v>
      </c>
      <c r="E2462">
        <v>37</v>
      </c>
      <c r="F2462">
        <v>8</v>
      </c>
      <c r="G2462">
        <v>2</v>
      </c>
      <c r="H2462" s="1">
        <v>3.2407407407407406E-3</v>
      </c>
      <c r="I2462" t="s">
        <v>2</v>
      </c>
      <c r="J2462" t="s">
        <v>1</v>
      </c>
      <c r="K2462" s="2" t="str">
        <f>HYPERLINK("https://www.nba.com/stats/events?CFID=&amp;CFPARAMS=&amp;GameEventID=289&amp;GameID=0041800303&amp;Season=2018-19&amp;flag=1&amp;title=Siakam%201'%20Driving%20Floating%20Bank%20Jump%20Shot%20(12%20PTS)%20(Leonard%204%20AST)", "Siakam 1' Driving Floating Bank Jump Shot (12 PTS) (Leonard 4 AST)")</f>
        <v>Siakam 1' Driving Floating Bank Jump Shot (12 PTS) (Leonard 4 AST)</v>
      </c>
      <c r="L2462" s="2" t="str">
        <f>HYPERLINK("https://www.nba.com/game/...-vs-...-0041800303/play-by-play?watchFullGame=true", "TOR vs MIL - Q2 04:40.00")</f>
        <v>TOR vs MIL - Q2 04:40.00</v>
      </c>
      <c r="M2462">
        <v>1</v>
      </c>
      <c r="N2462">
        <v>-11</v>
      </c>
      <c r="O2462">
        <v>-4</v>
      </c>
      <c r="P2462">
        <v>-11</v>
      </c>
      <c r="Q2462">
        <v>-4</v>
      </c>
      <c r="R2462" t="s">
        <v>0</v>
      </c>
      <c r="S2462" t="s">
        <v>0</v>
      </c>
      <c r="T2462" t="s">
        <v>0</v>
      </c>
    </row>
    <row r="2463" spans="1:20" x14ac:dyDescent="0.25">
      <c r="A2463">
        <v>41800314</v>
      </c>
      <c r="B2463" t="s">
        <v>4</v>
      </c>
      <c r="C2463" t="s">
        <v>19</v>
      </c>
      <c r="D2463">
        <v>20</v>
      </c>
      <c r="E2463">
        <v>23</v>
      </c>
      <c r="F2463">
        <v>3</v>
      </c>
      <c r="G2463">
        <v>1</v>
      </c>
      <c r="H2463" s="1">
        <v>3.6689814814814814E-3</v>
      </c>
      <c r="I2463" t="s">
        <v>2</v>
      </c>
      <c r="J2463" t="s">
        <v>12</v>
      </c>
      <c r="K2463" s="2" t="str">
        <f>HYPERLINK("https://www.nba.com/stats/events?CFID=&amp;CFPARAMS=&amp;GameEventID=69&amp;GameID=0041800314&amp;Season=2018-19&amp;flag=1&amp;title=Lillard%2021'%20Pullup%20Jump%20Shot%20(7%20PTS)%20(Leonard%201%20AST)", "Lillard 21' Pullup Jump Shot (7 PTS) (Leonard 1 AST)")</f>
        <v>Lillard 21' Pullup Jump Shot (7 PTS) (Leonard 1 AST)</v>
      </c>
      <c r="L2463" s="2" t="str">
        <f>HYPERLINK("https://www.nba.com/game/...-vs-...-0041800314/play-by-play?watchFullGame=true", "POR vs GSW - Q1 05:17.00")</f>
        <v>POR vs GSW - Q1 05:17.00</v>
      </c>
      <c r="M2463">
        <v>21</v>
      </c>
      <c r="N2463">
        <v>201</v>
      </c>
      <c r="O2463">
        <v>67</v>
      </c>
      <c r="P2463">
        <v>201</v>
      </c>
      <c r="Q2463">
        <v>67</v>
      </c>
      <c r="R2463" t="s">
        <v>0</v>
      </c>
      <c r="S2463" t="s">
        <v>0</v>
      </c>
      <c r="T2463" t="s">
        <v>0</v>
      </c>
    </row>
    <row r="2464" spans="1:20" x14ac:dyDescent="0.25">
      <c r="A2464">
        <v>21800216</v>
      </c>
      <c r="B2464" t="s">
        <v>10</v>
      </c>
      <c r="C2464" t="s">
        <v>9</v>
      </c>
      <c r="D2464">
        <v>107</v>
      </c>
      <c r="E2464">
        <v>103</v>
      </c>
      <c r="F2464">
        <v>4</v>
      </c>
      <c r="G2464">
        <v>4</v>
      </c>
      <c r="H2464" s="1">
        <v>1.0300925925925926E-3</v>
      </c>
      <c r="I2464">
        <v>2018</v>
      </c>
      <c r="J2464" t="s">
        <v>1</v>
      </c>
      <c r="K2464" s="2" t="str">
        <f>HYPERLINK("https://www.nba.com/stats/events?CFID=&amp;CFPARAMS=&amp;GameEventID=659&amp;GameID=0021800216&amp;Season=2018-19&amp;flag=1&amp;title=Wright%2025'%203PT%20Jump%20Shot%20(7%20PTS)%20(Leonard%204%20AST)", "Wright 25' 3PT Jump Shot (7 PTS) (Leonard 4 AST)")</f>
        <v>Wright 25' 3PT Jump Shot (7 PTS) (Leonard 4 AST)</v>
      </c>
      <c r="L2464" s="2" t="str">
        <f>HYPERLINK("https://www.nba.com/game/...-vs-...-0021800216/play-by-play?watchFullGame=true", "TOR vs BOS - Q4 01:29.00")</f>
        <v>TOR vs BOS - Q4 01:29.00</v>
      </c>
      <c r="M2464">
        <v>25</v>
      </c>
      <c r="N2464">
        <v>216</v>
      </c>
      <c r="O2464">
        <v>127</v>
      </c>
      <c r="P2464">
        <v>216</v>
      </c>
      <c r="Q2464">
        <v>127</v>
      </c>
      <c r="R2464" t="s">
        <v>0</v>
      </c>
      <c r="S2464" t="s">
        <v>0</v>
      </c>
      <c r="T2464" t="s">
        <v>0</v>
      </c>
    </row>
    <row r="2465" spans="1:20" x14ac:dyDescent="0.25">
      <c r="A2465">
        <v>21800290</v>
      </c>
      <c r="B2465" t="s">
        <v>4</v>
      </c>
      <c r="C2465" t="s">
        <v>5</v>
      </c>
      <c r="D2465">
        <v>67</v>
      </c>
      <c r="E2465">
        <v>57</v>
      </c>
      <c r="F2465">
        <v>10</v>
      </c>
      <c r="G2465">
        <v>3</v>
      </c>
      <c r="H2465" s="1">
        <v>7.6388888888888886E-3</v>
      </c>
      <c r="I2465">
        <v>2018</v>
      </c>
      <c r="J2465" t="s">
        <v>1</v>
      </c>
      <c r="K2465" s="2" t="str">
        <f>HYPERLINK("https://www.nba.com/stats/events?CFID=&amp;CFPARAMS=&amp;GameEventID=331&amp;GameID=0021800290&amp;Season=2018-19&amp;flag=1&amp;title=Valanciunas%202'%20Layup%20(12%20PTS)%20(Leonard%201%20AST)", "Valanciunas 2' Layup (12 PTS) (Leonard 1 AST)")</f>
        <v>Valanciunas 2' Layup (12 PTS) (Leonard 1 AST)</v>
      </c>
      <c r="L2465" s="2" t="str">
        <f>HYPERLINK("https://www.nba.com/game/...-vs-...-0021800290/play-by-play?watchFullGame=true", "TOR vs MIA - Q3 11:00.00")</f>
        <v>TOR vs MIA - Q3 11:00.00</v>
      </c>
      <c r="M2465">
        <v>2</v>
      </c>
      <c r="N2465">
        <v>22</v>
      </c>
      <c r="O2465">
        <v>6</v>
      </c>
      <c r="P2465">
        <v>22</v>
      </c>
      <c r="Q2465">
        <v>6</v>
      </c>
      <c r="R2465" t="s">
        <v>0</v>
      </c>
      <c r="S2465" t="s">
        <v>0</v>
      </c>
      <c r="T2465" t="s">
        <v>0</v>
      </c>
    </row>
    <row r="2466" spans="1:20" x14ac:dyDescent="0.25">
      <c r="A2466">
        <v>21800290</v>
      </c>
      <c r="B2466" t="s">
        <v>10</v>
      </c>
      <c r="C2466" t="s">
        <v>9</v>
      </c>
      <c r="D2466">
        <v>74</v>
      </c>
      <c r="E2466">
        <v>57</v>
      </c>
      <c r="F2466">
        <v>17</v>
      </c>
      <c r="G2466">
        <v>3</v>
      </c>
      <c r="H2466" s="1">
        <v>7.1759259259259259E-3</v>
      </c>
      <c r="I2466">
        <v>2018</v>
      </c>
      <c r="J2466" t="s">
        <v>1</v>
      </c>
      <c r="K2466" s="2" t="str">
        <f>HYPERLINK("https://www.nba.com/stats/events?CFID=&amp;CFPARAMS=&amp;GameEventID=351&amp;GameID=0021800290&amp;Season=2018-19&amp;flag=1&amp;title=Lowry%2027'%203PT%20Jump%20Shot%20(7%20PTS)%20(Leonard%202%20AST)", "Lowry 27' 3PT Jump Shot (7 PTS) (Leonard 2 AST)")</f>
        <v>Lowry 27' 3PT Jump Shot (7 PTS) (Leonard 2 AST)</v>
      </c>
      <c r="L2466" s="2" t="str">
        <f>HYPERLINK("https://www.nba.com/game/...-vs-...-0021800290/play-by-play?watchFullGame=true", "TOR vs MIA - Q3 10:20.00")</f>
        <v>TOR vs MIA - Q3 10:20.00</v>
      </c>
      <c r="M2466">
        <v>27</v>
      </c>
      <c r="N2466">
        <v>157</v>
      </c>
      <c r="O2466">
        <v>214</v>
      </c>
      <c r="P2466">
        <v>157</v>
      </c>
      <c r="Q2466">
        <v>214</v>
      </c>
      <c r="R2466" t="s">
        <v>0</v>
      </c>
      <c r="S2466" t="s">
        <v>0</v>
      </c>
      <c r="T2466" t="s">
        <v>0</v>
      </c>
    </row>
    <row r="2467" spans="1:20" x14ac:dyDescent="0.25">
      <c r="A2467">
        <v>21800314</v>
      </c>
      <c r="B2467" t="s">
        <v>10</v>
      </c>
      <c r="C2467" t="s">
        <v>9</v>
      </c>
      <c r="D2467">
        <v>30</v>
      </c>
      <c r="E2467">
        <v>21</v>
      </c>
      <c r="F2467">
        <v>9</v>
      </c>
      <c r="G2467">
        <v>1</v>
      </c>
      <c r="H2467" s="1">
        <v>8.9120370370370373E-4</v>
      </c>
      <c r="I2467">
        <v>2018</v>
      </c>
      <c r="J2467" t="s">
        <v>12</v>
      </c>
      <c r="K2467" s="2" t="str">
        <f>HYPERLINK("https://www.nba.com/stats/events?CFID=&amp;CFPARAMS=&amp;GameEventID=129&amp;GameID=0021800314&amp;Season=2018-19&amp;flag=1&amp;title=Collins%2025'%203PT%20Jump%20Shot%20(3%20PTS)%20(Leonard%201%20AST)", "Collins 25' 3PT Jump Shot (3 PTS) (Leonard 1 AST)")</f>
        <v>Collins 25' 3PT Jump Shot (3 PTS) (Leonard 1 AST)</v>
      </c>
      <c r="L2467" s="2" t="str">
        <f>HYPERLINK("https://www.nba.com/game/...-vs-...-0021800314/play-by-play?watchFullGame=true", "POR vs ORL - Q1 01:17.00")</f>
        <v>POR vs ORL - Q1 01:17.00</v>
      </c>
      <c r="M2467">
        <v>25</v>
      </c>
      <c r="N2467">
        <v>-24</v>
      </c>
      <c r="O2467">
        <v>252</v>
      </c>
      <c r="P2467">
        <v>-24</v>
      </c>
      <c r="Q2467">
        <v>252</v>
      </c>
      <c r="R2467" t="s">
        <v>0</v>
      </c>
      <c r="S2467" t="s">
        <v>0</v>
      </c>
      <c r="T2467" t="s">
        <v>0</v>
      </c>
    </row>
    <row r="2468" spans="1:20" x14ac:dyDescent="0.25">
      <c r="A2468">
        <v>21800342</v>
      </c>
      <c r="B2468" t="s">
        <v>10</v>
      </c>
      <c r="C2468" t="s">
        <v>9</v>
      </c>
      <c r="D2468">
        <v>88</v>
      </c>
      <c r="E2468">
        <v>88</v>
      </c>
      <c r="F2468">
        <v>0</v>
      </c>
      <c r="G2468">
        <v>3</v>
      </c>
      <c r="H2468" s="1">
        <v>1.3541666666666667E-3</v>
      </c>
      <c r="I2468">
        <v>2018</v>
      </c>
      <c r="J2468" t="s">
        <v>12</v>
      </c>
      <c r="K2468" s="2" t="str">
        <f>HYPERLINK("https://www.nba.com/stats/events?CFID=&amp;CFPARAMS=&amp;GameEventID=415&amp;GameID=0021800342&amp;Season=2018-19&amp;flag=1&amp;title=Stauskas%2026'%203PT%20Jump%20Shot%20(3%20PTS)%20(Leonard%201%20AST)", "Stauskas 26' 3PT Jump Shot (3 PTS) (Leonard 1 AST)")</f>
        <v>Stauskas 26' 3PT Jump Shot (3 PTS) (Leonard 1 AST)</v>
      </c>
      <c r="L2468" s="2" t="str">
        <f>HYPERLINK("https://www.nba.com/game/...-vs-...-0021800342/play-by-play?watchFullGame=true", "POR vs SAS - Q3 01:57.00")</f>
        <v>POR vs SAS - Q3 01:57.00</v>
      </c>
      <c r="M2468">
        <v>26</v>
      </c>
      <c r="N2468">
        <v>-21</v>
      </c>
      <c r="O2468">
        <v>255</v>
      </c>
      <c r="P2468">
        <v>-21</v>
      </c>
      <c r="Q2468">
        <v>255</v>
      </c>
      <c r="R2468" t="s">
        <v>0</v>
      </c>
      <c r="S2468" t="s">
        <v>0</v>
      </c>
      <c r="T2468" t="s">
        <v>0</v>
      </c>
    </row>
    <row r="2469" spans="1:20" x14ac:dyDescent="0.25">
      <c r="A2469">
        <v>21800459</v>
      </c>
      <c r="B2469" t="s">
        <v>4</v>
      </c>
      <c r="C2469" t="s">
        <v>5</v>
      </c>
      <c r="D2469">
        <v>2</v>
      </c>
      <c r="E2469">
        <v>0</v>
      </c>
      <c r="F2469">
        <v>2</v>
      </c>
      <c r="G2469">
        <v>1</v>
      </c>
      <c r="H2469" s="1">
        <v>7.8240740740740736E-3</v>
      </c>
      <c r="I2469">
        <v>2018</v>
      </c>
      <c r="J2469" t="s">
        <v>1</v>
      </c>
      <c r="K2469" s="2" t="str">
        <f>HYPERLINK("https://www.nba.com/stats/events?CFID=&amp;CFPARAMS=&amp;GameEventID=9&amp;GameID=0021800459&amp;Season=2018-19&amp;flag=1&amp;title=Monroe%202'%20Layup%20(2%20PTS)%20(Leonard%201%20AST)", "Monroe 2' Layup (2 PTS) (Leonard 1 AST)")</f>
        <v>Monroe 2' Layup (2 PTS) (Leonard 1 AST)</v>
      </c>
      <c r="L2469" s="2" t="str">
        <f>HYPERLINK("https://www.nba.com/game/...-vs-...-0021800459/play-by-play?watchFullGame=true", "TOR vs IND - Q1 11:16.00")</f>
        <v>TOR vs IND - Q1 11:16.00</v>
      </c>
      <c r="M2469">
        <v>2</v>
      </c>
      <c r="N2469">
        <v>-14</v>
      </c>
      <c r="O2469">
        <v>6</v>
      </c>
      <c r="P2469">
        <v>-14</v>
      </c>
      <c r="Q2469">
        <v>6</v>
      </c>
      <c r="R2469" t="s">
        <v>0</v>
      </c>
      <c r="S2469" t="s">
        <v>0</v>
      </c>
      <c r="T2469" t="s">
        <v>0</v>
      </c>
    </row>
    <row r="2470" spans="1:20" x14ac:dyDescent="0.25">
      <c r="A2470">
        <v>21800575</v>
      </c>
      <c r="B2470" t="s">
        <v>4</v>
      </c>
      <c r="C2470" t="s">
        <v>37</v>
      </c>
      <c r="D2470">
        <v>87</v>
      </c>
      <c r="E2470">
        <v>86</v>
      </c>
      <c r="F2470">
        <v>1</v>
      </c>
      <c r="G2470">
        <v>3</v>
      </c>
      <c r="H2470" s="1">
        <v>1.0069444444444444E-3</v>
      </c>
      <c r="I2470">
        <v>2018</v>
      </c>
      <c r="J2470" t="s">
        <v>12</v>
      </c>
      <c r="K2470" s="2" t="str">
        <f>HYPERLINK("https://www.nba.com/stats/events?CFID=&amp;CFPARAMS=&amp;GameEventID=452&amp;GameID=0021800575&amp;Season=2018-19&amp;flag=1&amp;title=Aminu%201'%20Driving%20Dunk%20(12%20PTS)%20(Leonard%203%20AST)", "Aminu 1' Driving Dunk (12 PTS) (Leonard 3 AST)")</f>
        <v>Aminu 1' Driving Dunk (12 PTS) (Leonard 3 AST)</v>
      </c>
      <c r="L2470" s="2" t="str">
        <f>HYPERLINK("https://www.nba.com/game/...-vs-...-0021800575/play-by-play?watchFullGame=true", "POR vs OKC - Q3 01:27.00")</f>
        <v>POR vs OKC - Q3 01:27.00</v>
      </c>
      <c r="M2470">
        <v>1</v>
      </c>
      <c r="N2470">
        <v>-5</v>
      </c>
      <c r="O2470">
        <v>11</v>
      </c>
      <c r="P2470">
        <v>-5</v>
      </c>
      <c r="Q2470">
        <v>11</v>
      </c>
      <c r="R2470" t="s">
        <v>0</v>
      </c>
      <c r="S2470" t="s">
        <v>0</v>
      </c>
      <c r="T2470" t="s">
        <v>0</v>
      </c>
    </row>
    <row r="2471" spans="1:20" x14ac:dyDescent="0.25">
      <c r="A2471">
        <v>21800602</v>
      </c>
      <c r="B2471" t="s">
        <v>4</v>
      </c>
      <c r="C2471" t="s">
        <v>36</v>
      </c>
      <c r="D2471">
        <v>7</v>
      </c>
      <c r="E2471">
        <v>3</v>
      </c>
      <c r="F2471">
        <v>4</v>
      </c>
      <c r="G2471">
        <v>1</v>
      </c>
      <c r="H2471" s="1">
        <v>6.7361111111111111E-3</v>
      </c>
      <c r="I2471">
        <v>2018</v>
      </c>
      <c r="J2471" t="s">
        <v>1</v>
      </c>
      <c r="K2471" s="2" t="str">
        <f>HYPERLINK("https://www.nba.com/stats/events?CFID=&amp;CFPARAMS=&amp;GameEventID=32&amp;GameID=0021800602&amp;Season=2018-19&amp;flag=1&amp;title=Siakam%203'%20Running%20Layup%20(2%20PTS)%20(Leonard%201%20AST)", "Siakam 3' Running Layup (2 PTS) (Leonard 1 AST)")</f>
        <v>Siakam 3' Running Layup (2 PTS) (Leonard 1 AST)</v>
      </c>
      <c r="L2471" s="2" t="str">
        <f>HYPERLINK("https://www.nba.com/game/...-vs-...-0021800602/play-by-play?watchFullGame=true", "TOR vs ATL - Q1 09:42.00")</f>
        <v>TOR vs ATL - Q1 09:42.00</v>
      </c>
      <c r="M2471">
        <v>3</v>
      </c>
      <c r="N2471">
        <v>16</v>
      </c>
      <c r="O2471">
        <v>23</v>
      </c>
      <c r="P2471">
        <v>16</v>
      </c>
      <c r="Q2471">
        <v>23</v>
      </c>
      <c r="R2471" t="s">
        <v>0</v>
      </c>
      <c r="S2471" t="s">
        <v>0</v>
      </c>
      <c r="T2471" t="s">
        <v>0</v>
      </c>
    </row>
    <row r="2472" spans="1:20" x14ac:dyDescent="0.25">
      <c r="A2472">
        <v>41200231</v>
      </c>
      <c r="B2472" t="s">
        <v>10</v>
      </c>
      <c r="C2472" t="s">
        <v>9</v>
      </c>
      <c r="D2472">
        <v>126</v>
      </c>
      <c r="E2472">
        <v>121</v>
      </c>
      <c r="F2472">
        <v>5</v>
      </c>
      <c r="G2472">
        <v>6</v>
      </c>
      <c r="H2472" s="1">
        <v>7.6388888888888893E-4</v>
      </c>
      <c r="I2472" t="s">
        <v>27</v>
      </c>
      <c r="J2472" t="s">
        <v>7</v>
      </c>
      <c r="K2472" s="2" t="str">
        <f>HYPERLINK("https://www.nba.com/stats/events?CFID=&amp;CFPARAMS=&amp;GameEventID=611&amp;GameID=0041200231&amp;Season=2012-13&amp;flag=1&amp;title=Green%2026'%203PT%20Jump%20Shot%20(22%20PTS)%20(Leonard%202%20AST)", "Green 26' 3PT Jump Shot (22 PTS) (Leonard 2 AST)")</f>
        <v>Green 26' 3PT Jump Shot (22 PTS) (Leonard 2 AST)</v>
      </c>
      <c r="L2472" s="2" t="str">
        <f>HYPERLINK("https://www.nba.com/game/...-vs-...-0041200231/play-by-play?watchFullGame=true", "SAS vs GSW - Q6 01:06.00")</f>
        <v>SAS vs GSW - Q6 01:06.00</v>
      </c>
      <c r="M2472">
        <v>26</v>
      </c>
      <c r="N2472">
        <v>214</v>
      </c>
      <c r="O2472">
        <v>140</v>
      </c>
      <c r="P2472">
        <v>214</v>
      </c>
      <c r="Q2472">
        <v>140</v>
      </c>
      <c r="R2472" t="s">
        <v>0</v>
      </c>
      <c r="S2472" t="s">
        <v>0</v>
      </c>
      <c r="T2472" t="s">
        <v>0</v>
      </c>
    </row>
    <row r="2473" spans="1:20" x14ac:dyDescent="0.25">
      <c r="A2473">
        <v>41200153</v>
      </c>
      <c r="B2473" t="s">
        <v>4</v>
      </c>
      <c r="C2473" t="s">
        <v>36</v>
      </c>
      <c r="D2473">
        <v>79</v>
      </c>
      <c r="E2473">
        <v>59</v>
      </c>
      <c r="F2473">
        <v>20</v>
      </c>
      <c r="G2473">
        <v>3</v>
      </c>
      <c r="H2473" s="1">
        <v>2.5462962962962965E-3</v>
      </c>
      <c r="I2473" t="s">
        <v>27</v>
      </c>
      <c r="J2473" t="s">
        <v>7</v>
      </c>
      <c r="K2473" s="2" t="str">
        <f>HYPERLINK("https://www.nba.com/stats/events?CFID=&amp;CFPARAMS=&amp;GameEventID=335&amp;GameID=0041200153&amp;Season=2012-13&amp;flag=1&amp;title=Parker%201'%20Running%20Layup%20(18%20PTS)%20(Leonard%202%20AST)", "Parker 1' Running Layup (18 PTS) (Leonard 2 AST)")</f>
        <v>Parker 1' Running Layup (18 PTS) (Leonard 2 AST)</v>
      </c>
      <c r="L2473" s="2" t="str">
        <f>HYPERLINK("https://www.nba.com/game/...-vs-...-0041200153/play-by-play?watchFullGame=true", "SAS vs LAL - Q3 03:40.00")</f>
        <v>SAS vs LAL - Q3 03:40.00</v>
      </c>
      <c r="M2473">
        <v>1</v>
      </c>
      <c r="N2473">
        <v>13</v>
      </c>
      <c r="O2473">
        <v>4</v>
      </c>
      <c r="P2473">
        <v>13</v>
      </c>
      <c r="Q2473">
        <v>4</v>
      </c>
      <c r="R2473" t="s">
        <v>0</v>
      </c>
      <c r="S2473" t="s">
        <v>0</v>
      </c>
      <c r="T2473" t="s">
        <v>0</v>
      </c>
    </row>
    <row r="2474" spans="1:20" x14ac:dyDescent="0.25">
      <c r="A2474">
        <v>41300311</v>
      </c>
      <c r="B2474" t="s">
        <v>4</v>
      </c>
      <c r="C2474" t="s">
        <v>9</v>
      </c>
      <c r="D2474">
        <v>52</v>
      </c>
      <c r="E2474">
        <v>43</v>
      </c>
      <c r="F2474">
        <v>9</v>
      </c>
      <c r="G2474">
        <v>2</v>
      </c>
      <c r="H2474" s="1">
        <v>4.2013888888888891E-3</v>
      </c>
      <c r="I2474" t="s">
        <v>15</v>
      </c>
      <c r="J2474" t="s">
        <v>7</v>
      </c>
      <c r="K2474" s="2" t="str">
        <f>HYPERLINK("https://www.nba.com/stats/events?CFID=&amp;CFPARAMS=&amp;GameEventID=181&amp;GameID=0041300311&amp;Season=2013-14&amp;flag=1&amp;title=Belinelli%2020'%20Jump%20Shot%20(4%20PTS)%20(Leonard%201%20AST)", "Belinelli 20' Jump Shot (4 PTS) (Leonard 1 AST)")</f>
        <v>Belinelli 20' Jump Shot (4 PTS) (Leonard 1 AST)</v>
      </c>
      <c r="L2474" s="2" t="str">
        <f>HYPERLINK("https://www.nba.com/game/...-vs-...-0041300311/play-by-play?watchFullGame=true", "SAS vs OKC - Q2 06:03.00")</f>
        <v>SAS vs OKC - Q2 06:03.00</v>
      </c>
      <c r="M2474">
        <v>20</v>
      </c>
      <c r="N2474">
        <v>-108</v>
      </c>
      <c r="O2474">
        <v>164</v>
      </c>
      <c r="P2474">
        <v>-108</v>
      </c>
      <c r="Q2474">
        <v>164</v>
      </c>
      <c r="R2474" t="s">
        <v>0</v>
      </c>
      <c r="S2474" t="s">
        <v>0</v>
      </c>
      <c r="T2474" t="s">
        <v>0</v>
      </c>
    </row>
    <row r="2475" spans="1:20" x14ac:dyDescent="0.25">
      <c r="A2475">
        <v>41300316</v>
      </c>
      <c r="B2475" t="s">
        <v>10</v>
      </c>
      <c r="C2475" t="s">
        <v>9</v>
      </c>
      <c r="D2475">
        <v>91</v>
      </c>
      <c r="E2475">
        <v>82</v>
      </c>
      <c r="F2475">
        <v>9</v>
      </c>
      <c r="G2475">
        <v>4</v>
      </c>
      <c r="H2475" s="1">
        <v>4.2361111111111115E-3</v>
      </c>
      <c r="I2475" t="s">
        <v>15</v>
      </c>
      <c r="J2475" t="s">
        <v>7</v>
      </c>
      <c r="K2475" s="2" t="str">
        <f>HYPERLINK("https://www.nba.com/stats/events?CFID=&amp;CFPARAMS=&amp;GameEventID=461&amp;GameID=0041300316&amp;Season=2013-14&amp;flag=1&amp;title=Green%2024'%203PT%20Jump%20Shot%20(11%20PTS)%20(Leonard%203%20AST)", "Green 24' 3PT Jump Shot (11 PTS) (Leonard 3 AST)")</f>
        <v>Green 24' 3PT Jump Shot (11 PTS) (Leonard 3 AST)</v>
      </c>
      <c r="L2475" s="2" t="str">
        <f>HYPERLINK("https://www.nba.com/game/...-vs-...-0041300316/play-by-play?watchFullGame=true", "SAS vs OKC - Q4 06:06.00")</f>
        <v>SAS vs OKC - Q4 06:06.00</v>
      </c>
      <c r="M2475">
        <v>24</v>
      </c>
      <c r="N2475">
        <v>-231</v>
      </c>
      <c r="O2475">
        <v>52</v>
      </c>
      <c r="P2475">
        <v>-231</v>
      </c>
      <c r="Q2475">
        <v>52</v>
      </c>
      <c r="R2475" t="s">
        <v>0</v>
      </c>
      <c r="S2475" t="s">
        <v>0</v>
      </c>
      <c r="T2475" t="s">
        <v>0</v>
      </c>
    </row>
    <row r="2476" spans="1:20" x14ac:dyDescent="0.25">
      <c r="A2476">
        <v>41300402</v>
      </c>
      <c r="B2476" t="s">
        <v>4</v>
      </c>
      <c r="C2476" t="s">
        <v>5</v>
      </c>
      <c r="D2476">
        <v>17</v>
      </c>
      <c r="E2476">
        <v>15</v>
      </c>
      <c r="F2476">
        <v>2</v>
      </c>
      <c r="G2476">
        <v>1</v>
      </c>
      <c r="H2476" s="1">
        <v>3.2060185185185186E-3</v>
      </c>
      <c r="I2476" t="s">
        <v>15</v>
      </c>
      <c r="J2476" t="s">
        <v>7</v>
      </c>
      <c r="K2476" s="2" t="str">
        <f>HYPERLINK("https://www.nba.com/stats/events?CFID=&amp;CFPARAMS=&amp;GameEventID=68&amp;GameID=0041300402&amp;Season=2013-14&amp;flag=1&amp;title=Parker%202'%20Layup%20(2%20PTS)%20(Leonard%201%20AST)", "Parker 2' Layup (2 PTS) (Leonard 1 AST)")</f>
        <v>Parker 2' Layup (2 PTS) (Leonard 1 AST)</v>
      </c>
      <c r="L2476" s="2" t="str">
        <f>HYPERLINK("https://www.nba.com/game/...-vs-...-0041300402/play-by-play?watchFullGame=true", "SAS vs MIA - Q1 04:37.00")</f>
        <v>SAS vs MIA - Q1 04:37.00</v>
      </c>
      <c r="M2476">
        <v>2</v>
      </c>
      <c r="N2476">
        <v>18</v>
      </c>
      <c r="O2476">
        <v>-6</v>
      </c>
      <c r="P2476">
        <v>18</v>
      </c>
      <c r="Q2476">
        <v>-6</v>
      </c>
      <c r="R2476" t="s">
        <v>0</v>
      </c>
      <c r="S2476" t="s">
        <v>0</v>
      </c>
      <c r="T2476" t="s">
        <v>0</v>
      </c>
    </row>
    <row r="2477" spans="1:20" x14ac:dyDescent="0.25">
      <c r="A2477">
        <v>41500235</v>
      </c>
      <c r="B2477" t="s">
        <v>10</v>
      </c>
      <c r="C2477" t="s">
        <v>9</v>
      </c>
      <c r="D2477">
        <v>78</v>
      </c>
      <c r="E2477">
        <v>72</v>
      </c>
      <c r="F2477">
        <v>6</v>
      </c>
      <c r="G2477">
        <v>4</v>
      </c>
      <c r="H2477" s="1">
        <v>6.1921296296296299E-3</v>
      </c>
      <c r="I2477" t="s">
        <v>11</v>
      </c>
      <c r="J2477" t="s">
        <v>7</v>
      </c>
      <c r="K2477" s="2" t="str">
        <f>HYPERLINK("https://www.nba.com/stats/events?CFID=&amp;CFPARAMS=&amp;GameEventID=431&amp;GameID=0041500235&amp;Season=2015-16&amp;flag=1&amp;title=Green%2024'%203PT%20Jump%20Shot%20(17%20PTS)%20(Leonard%204%20AST)", "Green 24' 3PT Jump Shot (17 PTS) (Leonard 4 AST)")</f>
        <v>Green 24' 3PT Jump Shot (17 PTS) (Leonard 4 AST)</v>
      </c>
      <c r="L2477" s="2" t="str">
        <f>HYPERLINK("https://www.nba.com/game/...-vs-...-0041500235/play-by-play?watchFullGame=true", "SAS vs OKC - Q4 08:55.00")</f>
        <v>SAS vs OKC - Q4 08:55.00</v>
      </c>
      <c r="M2477">
        <v>24</v>
      </c>
      <c r="N2477">
        <v>-238</v>
      </c>
      <c r="O2477">
        <v>23</v>
      </c>
      <c r="P2477">
        <v>-238</v>
      </c>
      <c r="Q2477">
        <v>23</v>
      </c>
      <c r="R2477" t="s">
        <v>0</v>
      </c>
      <c r="S2477" t="s">
        <v>0</v>
      </c>
      <c r="T2477" t="s">
        <v>0</v>
      </c>
    </row>
    <row r="2478" spans="1:20" x14ac:dyDescent="0.25">
      <c r="A2478">
        <v>41600232</v>
      </c>
      <c r="B2478" t="s">
        <v>10</v>
      </c>
      <c r="C2478" t="s">
        <v>9</v>
      </c>
      <c r="D2478">
        <v>78</v>
      </c>
      <c r="E2478">
        <v>70</v>
      </c>
      <c r="F2478">
        <v>8</v>
      </c>
      <c r="G2478">
        <v>3</v>
      </c>
      <c r="H2478" s="1">
        <v>4.1898148148148146E-3</v>
      </c>
      <c r="I2478" t="s">
        <v>8</v>
      </c>
      <c r="J2478" t="s">
        <v>7</v>
      </c>
      <c r="K2478" s="2" t="str">
        <f>HYPERLINK("https://www.nba.com/stats/events?CFID=&amp;CFPARAMS=&amp;GameEventID=272&amp;GameID=0041600232&amp;Season=2016-17&amp;flag=1&amp;title=Parker%2026'%203PT%20Jump%20Shot%20(18%20PTS)%20(Leonard%206%20AST)", "Parker 26' 3PT Jump Shot (18 PTS) (Leonard 6 AST)")</f>
        <v>Parker 26' 3PT Jump Shot (18 PTS) (Leonard 6 AST)</v>
      </c>
      <c r="L2478" s="2" t="str">
        <f>HYPERLINK("https://www.nba.com/game/...-vs-...-0041600232/play-by-play?watchFullGame=true", "SAS vs HOU - Q3 06:02.00")</f>
        <v>SAS vs HOU - Q3 06:02.00</v>
      </c>
      <c r="M2478">
        <v>26</v>
      </c>
      <c r="N2478">
        <v>192</v>
      </c>
      <c r="O2478">
        <v>169</v>
      </c>
      <c r="P2478">
        <v>192</v>
      </c>
      <c r="Q2478">
        <v>169</v>
      </c>
      <c r="R2478" t="s">
        <v>0</v>
      </c>
      <c r="S2478" t="s">
        <v>0</v>
      </c>
      <c r="T2478" t="s">
        <v>0</v>
      </c>
    </row>
    <row r="2479" spans="1:20" x14ac:dyDescent="0.25">
      <c r="A2479">
        <v>21800516</v>
      </c>
      <c r="B2479" t="s">
        <v>10</v>
      </c>
      <c r="C2479" t="s">
        <v>14</v>
      </c>
      <c r="D2479">
        <v>30</v>
      </c>
      <c r="E2479">
        <v>35</v>
      </c>
      <c r="F2479">
        <v>5</v>
      </c>
      <c r="G2479">
        <v>2</v>
      </c>
      <c r="H2479" s="1">
        <v>5.6018518518518518E-3</v>
      </c>
      <c r="I2479">
        <v>2018</v>
      </c>
      <c r="J2479" t="s">
        <v>12</v>
      </c>
      <c r="K2479" s="2" t="str">
        <f>HYPERLINK("https://www.nba.com/stats/events?CFID=&amp;CFPARAMS=&amp;GameEventID=219&amp;GameID=0021800516&amp;Season=2018-19&amp;flag=1&amp;title=Stauskas%2025'%203PT%20Step%20Back%20Jump%20Shot%20(3%20PTS)%20(Leonard%201%20AST)", "Stauskas 25' 3PT Step Back Jump Shot (3 PTS) (Leonard 1 AST)")</f>
        <v>Stauskas 25' 3PT Step Back Jump Shot (3 PTS) (Leonard 1 AST)</v>
      </c>
      <c r="L2479" s="2" t="str">
        <f>HYPERLINK("https://www.nba.com/game/...-vs-...-0021800516/play-by-play?watchFullGame=true", "POR vs GSW - Q2 08:04.00")</f>
        <v>POR vs GSW - Q2 08:04.00</v>
      </c>
      <c r="M2479">
        <v>25</v>
      </c>
      <c r="N2479">
        <v>-2</v>
      </c>
      <c r="O2479">
        <v>254</v>
      </c>
      <c r="P2479">
        <v>-2</v>
      </c>
      <c r="Q2479">
        <v>254</v>
      </c>
      <c r="R2479" t="s">
        <v>0</v>
      </c>
      <c r="S2479" t="s">
        <v>0</v>
      </c>
      <c r="T2479" t="s">
        <v>0</v>
      </c>
    </row>
    <row r="2480" spans="1:20" x14ac:dyDescent="0.25">
      <c r="A2480">
        <v>21800580</v>
      </c>
      <c r="B2480" t="s">
        <v>4</v>
      </c>
      <c r="C2480" t="s">
        <v>23</v>
      </c>
      <c r="D2480">
        <v>6</v>
      </c>
      <c r="E2480">
        <v>10</v>
      </c>
      <c r="F2480">
        <v>4</v>
      </c>
      <c r="G2480">
        <v>1</v>
      </c>
      <c r="H2480" s="1">
        <v>6.5856481481481478E-3</v>
      </c>
      <c r="I2480">
        <v>2018</v>
      </c>
      <c r="J2480" t="s">
        <v>1</v>
      </c>
      <c r="K2480" s="2" t="str">
        <f>HYPERLINK("https://www.nba.com/stats/events?CFID=&amp;CFPARAMS=&amp;GameEventID=30&amp;GameID=0021800580&amp;Season=2018-19&amp;flag=1&amp;title=Siakam%201'%20Driving%20Layup%20(3%20PTS)%20(Leonard%201%20AST)", "Siakam 1' Driving Layup (3 PTS) (Leonard 1 AST)")</f>
        <v>Siakam 1' Driving Layup (3 PTS) (Leonard 1 AST)</v>
      </c>
      <c r="L2480" s="2" t="str">
        <f>HYPERLINK("https://www.nba.com/game/...-vs-...-0021800580/play-by-play?watchFullGame=true", "TOR vs MIL - Q1 09:29.00")</f>
        <v>TOR vs MIL - Q1 09:29.00</v>
      </c>
      <c r="M2480">
        <v>1</v>
      </c>
      <c r="N2480">
        <v>-5</v>
      </c>
      <c r="O2480">
        <v>12</v>
      </c>
      <c r="P2480">
        <v>-5</v>
      </c>
      <c r="Q2480">
        <v>12</v>
      </c>
      <c r="R2480" t="s">
        <v>0</v>
      </c>
      <c r="S2480" t="s">
        <v>0</v>
      </c>
      <c r="T2480" t="s">
        <v>0</v>
      </c>
    </row>
    <row r="2481" spans="1:20" x14ac:dyDescent="0.25">
      <c r="A2481">
        <v>21800662</v>
      </c>
      <c r="B2481" t="s">
        <v>4</v>
      </c>
      <c r="C2481" t="s">
        <v>6</v>
      </c>
      <c r="D2481">
        <v>129</v>
      </c>
      <c r="E2481">
        <v>108</v>
      </c>
      <c r="F2481">
        <v>21</v>
      </c>
      <c r="G2481">
        <v>4</v>
      </c>
      <c r="H2481" s="1">
        <v>9.4907407407407408E-4</v>
      </c>
      <c r="I2481">
        <v>2018</v>
      </c>
      <c r="J2481" t="s">
        <v>12</v>
      </c>
      <c r="K2481" s="2" t="str">
        <f>HYPERLINK("https://www.nba.com/stats/events?CFID=&amp;CFPARAMS=&amp;GameEventID=592&amp;GameID=0021800662&amp;Season=2018-19&amp;flag=1&amp;title=Layman%201'%20Cutting%20Dunk%20Shot%20(18%20PTS)%20(Leonard%201%20AST)", "Layman 1' Cutting Dunk Shot (18 PTS) (Leonard 1 AST)")</f>
        <v>Layman 1' Cutting Dunk Shot (18 PTS) (Leonard 1 AST)</v>
      </c>
      <c r="L2481" s="2" t="str">
        <f>HYPERLINK("https://www.nba.com/game/...-vs-...-0021800662/play-by-play?watchFullGame=true", "POR vs CLE - Q4 01:22.00")</f>
        <v>POR vs CLE - Q4 01:22.00</v>
      </c>
      <c r="M2481">
        <v>1</v>
      </c>
      <c r="N2481">
        <v>-8</v>
      </c>
      <c r="O2481">
        <v>5</v>
      </c>
      <c r="P2481">
        <v>-8</v>
      </c>
      <c r="Q2481">
        <v>5</v>
      </c>
      <c r="R2481" t="s">
        <v>0</v>
      </c>
      <c r="S2481" t="s">
        <v>0</v>
      </c>
      <c r="T2481" t="s">
        <v>0</v>
      </c>
    </row>
    <row r="2482" spans="1:20" x14ac:dyDescent="0.25">
      <c r="A2482">
        <v>21800800</v>
      </c>
      <c r="B2482" t="s">
        <v>4</v>
      </c>
      <c r="C2482" t="s">
        <v>6</v>
      </c>
      <c r="D2482">
        <v>110</v>
      </c>
      <c r="E2482">
        <v>101</v>
      </c>
      <c r="F2482">
        <v>9</v>
      </c>
      <c r="G2482">
        <v>4</v>
      </c>
      <c r="H2482" s="1">
        <v>3.7499999999999999E-3</v>
      </c>
      <c r="I2482">
        <v>2018</v>
      </c>
      <c r="J2482" t="s">
        <v>1</v>
      </c>
      <c r="K2482" s="2" t="str">
        <f>HYPERLINK("https://www.nba.com/stats/events?CFID=&amp;CFPARAMS=&amp;GameEventID=622&amp;GameID=0021800800&amp;Season=2018-19&amp;flag=1&amp;title=Ibaka%20Cutting%20Dunk%20Shot%20(20%20PTS)%20(Leonard%203%20AST)", "Ibaka Cutting Dunk Shot (20 PTS) (Leonard 3 AST)")</f>
        <v>Ibaka Cutting Dunk Shot (20 PTS) (Leonard 3 AST)</v>
      </c>
      <c r="L2482" s="2" t="str">
        <f>HYPERLINK("https://www.nba.com/game/...-vs-...-0021800800/play-by-play?watchFullGame=true", "TOR vs PHI - Q4 05:24.00")</f>
        <v>TOR vs PHI - Q4 05:24.00</v>
      </c>
      <c r="M2482">
        <v>0</v>
      </c>
      <c r="N2482">
        <v>0</v>
      </c>
      <c r="O2482">
        <v>1</v>
      </c>
      <c r="P2482">
        <v>0</v>
      </c>
      <c r="Q2482">
        <v>1</v>
      </c>
      <c r="R2482" t="s">
        <v>0</v>
      </c>
      <c r="S2482" t="s">
        <v>0</v>
      </c>
      <c r="T2482" t="s">
        <v>0</v>
      </c>
    </row>
    <row r="2483" spans="1:20" x14ac:dyDescent="0.25">
      <c r="A2483">
        <v>21800842</v>
      </c>
      <c r="B2483" t="s">
        <v>4</v>
      </c>
      <c r="C2483" t="s">
        <v>35</v>
      </c>
      <c r="D2483">
        <v>13</v>
      </c>
      <c r="E2483">
        <v>14</v>
      </c>
      <c r="F2483">
        <v>1</v>
      </c>
      <c r="G2483">
        <v>1</v>
      </c>
      <c r="H2483" s="1">
        <v>4.2129629629629626E-3</v>
      </c>
      <c r="I2483">
        <v>2018</v>
      </c>
      <c r="J2483" t="s">
        <v>1</v>
      </c>
      <c r="K2483" s="2" t="str">
        <f>HYPERLINK("https://www.nba.com/stats/events?CFID=&amp;CFPARAMS=&amp;GameEventID=66&amp;GameID=0021800842&amp;Season=2018-19&amp;flag=1&amp;title=Ibaka%205'%20Turnaround%20Bank%20Hook%20Shot%20(4%20PTS)%20(Leonard%203%20AST)", "Ibaka 5' Turnaround Bank Hook Shot (4 PTS) (Leonard 3 AST)")</f>
        <v>Ibaka 5' Turnaround Bank Hook Shot (4 PTS) (Leonard 3 AST)</v>
      </c>
      <c r="L2483" s="2" t="str">
        <f>HYPERLINK("https://www.nba.com/game/...-vs-...-0021800842/play-by-play?watchFullGame=true", "TOR vs BKN - Q1 06:04.00")</f>
        <v>TOR vs BKN - Q1 06:04.00</v>
      </c>
      <c r="M2483">
        <v>5</v>
      </c>
      <c r="N2483">
        <v>38</v>
      </c>
      <c r="O2483">
        <v>32</v>
      </c>
      <c r="P2483">
        <v>38</v>
      </c>
      <c r="Q2483">
        <v>32</v>
      </c>
      <c r="R2483" t="s">
        <v>0</v>
      </c>
      <c r="S2483" t="s">
        <v>0</v>
      </c>
      <c r="T2483" t="s">
        <v>0</v>
      </c>
    </row>
    <row r="2484" spans="1:20" x14ac:dyDescent="0.25">
      <c r="A2484">
        <v>21801023</v>
      </c>
      <c r="B2484" t="s">
        <v>4</v>
      </c>
      <c r="C2484" t="s">
        <v>29</v>
      </c>
      <c r="D2484">
        <v>2</v>
      </c>
      <c r="E2484">
        <v>2</v>
      </c>
      <c r="F2484">
        <v>0</v>
      </c>
      <c r="G2484">
        <v>1</v>
      </c>
      <c r="H2484" s="1">
        <v>7.4421296296296293E-3</v>
      </c>
      <c r="I2484">
        <v>2018</v>
      </c>
      <c r="J2484" t="s">
        <v>1</v>
      </c>
      <c r="K2484" s="2" t="str">
        <f>HYPERLINK("https://www.nba.com/stats/events?CFID=&amp;CFPARAMS=&amp;GameEventID=18&amp;GameID=0021801023&amp;Season=2018-19&amp;flag=1&amp;title=Lin%203'%20Driving%20Floating%20Jump%20Shot%20(2%20PTS)%20(Leonard%201%20AST)", "Lin 3' Driving Floating Jump Shot (2 PTS) (Leonard 1 AST)")</f>
        <v>Lin 3' Driving Floating Jump Shot (2 PTS) (Leonard 1 AST)</v>
      </c>
      <c r="L2484" s="2" t="str">
        <f>HYPERLINK("https://www.nba.com/game/...-vs-...-0021801023/play-by-play?watchFullGame=true", "TOR vs LAL - Q1 10:43.00")</f>
        <v>TOR vs LAL - Q1 10:43.00</v>
      </c>
      <c r="M2484">
        <v>3</v>
      </c>
      <c r="N2484">
        <v>3</v>
      </c>
      <c r="O2484">
        <v>28</v>
      </c>
      <c r="P2484">
        <v>3</v>
      </c>
      <c r="Q2484">
        <v>28</v>
      </c>
      <c r="R2484" t="s">
        <v>0</v>
      </c>
      <c r="S2484" t="s">
        <v>0</v>
      </c>
      <c r="T2484" t="s">
        <v>0</v>
      </c>
    </row>
    <row r="2485" spans="1:20" x14ac:dyDescent="0.25">
      <c r="A2485">
        <v>21801195</v>
      </c>
      <c r="B2485" t="s">
        <v>4</v>
      </c>
      <c r="C2485" t="s">
        <v>29</v>
      </c>
      <c r="D2485">
        <v>75</v>
      </c>
      <c r="E2485">
        <v>72</v>
      </c>
      <c r="F2485">
        <v>3</v>
      </c>
      <c r="G2485">
        <v>3</v>
      </c>
      <c r="H2485" s="1">
        <v>1.4236111111111112E-3</v>
      </c>
      <c r="I2485">
        <v>2018</v>
      </c>
      <c r="J2485" t="s">
        <v>1</v>
      </c>
      <c r="K2485" s="2" t="str">
        <f>HYPERLINK("https://www.nba.com/stats/events?CFID=&amp;CFPARAMS=&amp;GameEventID=422&amp;GameID=0021801195&amp;Season=2018-19&amp;flag=1&amp;title=Ibaka%203'%20Driving%20Floating%20Jump%20Shot%20(6%20PTS)%20(Leonard%203%20AST)", "Ibaka 3' Driving Floating Jump Shot (6 PTS) (Leonard 3 AST)")</f>
        <v>Ibaka 3' Driving Floating Jump Shot (6 PTS) (Leonard 3 AST)</v>
      </c>
      <c r="L2485" s="2" t="str">
        <f>HYPERLINK("https://www.nba.com/game/...-vs-...-0021801195/play-by-play?watchFullGame=true", "TOR vs MIA - Q3 02:03.00")</f>
        <v>TOR vs MIA - Q3 02:03.00</v>
      </c>
      <c r="M2485">
        <v>3</v>
      </c>
      <c r="N2485">
        <v>8</v>
      </c>
      <c r="O2485">
        <v>30</v>
      </c>
      <c r="P2485">
        <v>8</v>
      </c>
      <c r="Q2485">
        <v>30</v>
      </c>
      <c r="R2485" t="s">
        <v>0</v>
      </c>
      <c r="S2485" t="s">
        <v>0</v>
      </c>
      <c r="T2485" t="s">
        <v>0</v>
      </c>
    </row>
    <row r="2486" spans="1:20" x14ac:dyDescent="0.25">
      <c r="A2486">
        <v>21801230</v>
      </c>
      <c r="B2486" t="s">
        <v>4</v>
      </c>
      <c r="C2486" t="s">
        <v>20</v>
      </c>
      <c r="D2486">
        <v>124</v>
      </c>
      <c r="E2486">
        <v>119</v>
      </c>
      <c r="F2486">
        <v>5</v>
      </c>
      <c r="G2486">
        <v>4</v>
      </c>
      <c r="H2486" s="1">
        <v>3.0902777777777777E-3</v>
      </c>
      <c r="I2486">
        <v>2018</v>
      </c>
      <c r="J2486" t="s">
        <v>12</v>
      </c>
      <c r="K2486" s="2" t="str">
        <f>HYPERLINK("https://www.nba.com/stats/events?CFID=&amp;CFPARAMS=&amp;GameEventID=514&amp;GameID=0021801230&amp;Season=2018-19&amp;flag=1&amp;title=Layman%202'%20Cutting%20Layup%20Shot%20(17%20PTS)%20(Leonard%203%20AST)", "Layman 2' Cutting Layup Shot (17 PTS) (Leonard 3 AST)")</f>
        <v>Layman 2' Cutting Layup Shot (17 PTS) (Leonard 3 AST)</v>
      </c>
      <c r="L2486" s="2" t="str">
        <f>HYPERLINK("https://www.nba.com/game/...-vs-...-0021801230/play-by-play?watchFullGame=true", "POR vs SAC - Q4 04:27.00")</f>
        <v>POR vs SAC - Q4 04:27.00</v>
      </c>
      <c r="M2486">
        <v>2</v>
      </c>
      <c r="N2486">
        <v>17</v>
      </c>
      <c r="O2486">
        <v>8</v>
      </c>
      <c r="P2486">
        <v>17</v>
      </c>
      <c r="Q2486">
        <v>8</v>
      </c>
      <c r="R2486" t="s">
        <v>0</v>
      </c>
      <c r="S2486" t="s">
        <v>0</v>
      </c>
      <c r="T2486" t="s">
        <v>0</v>
      </c>
    </row>
    <row r="2487" spans="1:20" x14ac:dyDescent="0.25">
      <c r="A2487">
        <v>41200402</v>
      </c>
      <c r="B2487" t="s">
        <v>4</v>
      </c>
      <c r="C2487" t="s">
        <v>9</v>
      </c>
      <c r="D2487">
        <v>11</v>
      </c>
      <c r="E2487">
        <v>6</v>
      </c>
      <c r="F2487">
        <v>5</v>
      </c>
      <c r="G2487">
        <v>1</v>
      </c>
      <c r="H2487" s="1">
        <v>5.0115740740740737E-3</v>
      </c>
      <c r="I2487" t="s">
        <v>27</v>
      </c>
      <c r="J2487" t="s">
        <v>7</v>
      </c>
      <c r="K2487" s="2" t="str">
        <f>HYPERLINK("https://www.nba.com/stats/events?CFID=&amp;CFPARAMS=&amp;GameEventID=32&amp;GameID=0041200402&amp;Season=2012-13&amp;flag=1&amp;title=Duncan%2017'%20Jump%20Shot%20(2%20PTS)%20(Leonard%201%20AST)", "Duncan 17' Jump Shot (2 PTS) (Leonard 1 AST)")</f>
        <v>Duncan 17' Jump Shot (2 PTS) (Leonard 1 AST)</v>
      </c>
      <c r="L2487" s="2" t="str">
        <f>HYPERLINK("https://www.nba.com/game/...-vs-...-0041200402/play-by-play?watchFullGame=true", "SAS vs MIA - Q1 07:13.00")</f>
        <v>SAS vs MIA - Q1 07:13.00</v>
      </c>
      <c r="M2487">
        <v>17</v>
      </c>
      <c r="N2487">
        <v>18</v>
      </c>
      <c r="O2487">
        <v>168</v>
      </c>
      <c r="P2487">
        <v>18</v>
      </c>
      <c r="Q2487">
        <v>168</v>
      </c>
      <c r="R2487" t="s">
        <v>0</v>
      </c>
      <c r="S2487" t="s">
        <v>0</v>
      </c>
      <c r="T2487" t="s">
        <v>0</v>
      </c>
    </row>
    <row r="2488" spans="1:20" x14ac:dyDescent="0.25">
      <c r="A2488">
        <v>41400163</v>
      </c>
      <c r="B2488" t="s">
        <v>4</v>
      </c>
      <c r="C2488" t="s">
        <v>19</v>
      </c>
      <c r="D2488">
        <v>63</v>
      </c>
      <c r="E2488">
        <v>45</v>
      </c>
      <c r="F2488">
        <v>18</v>
      </c>
      <c r="G2488">
        <v>3</v>
      </c>
      <c r="H2488" s="1">
        <v>3.0439814814814813E-3</v>
      </c>
      <c r="I2488" t="s">
        <v>13</v>
      </c>
      <c r="J2488" t="s">
        <v>7</v>
      </c>
      <c r="K2488" s="2" t="str">
        <f>HYPERLINK("https://www.nba.com/stats/events?CFID=&amp;CFPARAMS=&amp;GameEventID=301&amp;GameID=0041400163&amp;Season=2014-15&amp;flag=1&amp;title=Parker%2014'%20Pullup%20Jump%20Shot%20(6%20PTS)%20(Leonard%201%20AST)", "Parker 14' Pullup Jump Shot (6 PTS) (Leonard 1 AST)")</f>
        <v>Parker 14' Pullup Jump Shot (6 PTS) (Leonard 1 AST)</v>
      </c>
      <c r="L2488" s="2" t="str">
        <f>HYPERLINK("https://www.nba.com/game/...-vs-...-0041400163/play-by-play?watchFullGame=true", "SAS vs LAC - Q3 04:23.00")</f>
        <v>SAS vs LAC - Q3 04:23.00</v>
      </c>
      <c r="M2488">
        <v>14</v>
      </c>
      <c r="N2488">
        <v>132</v>
      </c>
      <c r="O2488">
        <v>48</v>
      </c>
      <c r="P2488">
        <v>132</v>
      </c>
      <c r="Q2488">
        <v>48</v>
      </c>
      <c r="R2488" t="s">
        <v>0</v>
      </c>
      <c r="S2488" t="s">
        <v>0</v>
      </c>
      <c r="T2488" t="s">
        <v>0</v>
      </c>
    </row>
    <row r="2489" spans="1:20" x14ac:dyDescent="0.25">
      <c r="A2489">
        <v>41600152</v>
      </c>
      <c r="B2489" t="s">
        <v>10</v>
      </c>
      <c r="C2489" t="s">
        <v>9</v>
      </c>
      <c r="D2489">
        <v>83</v>
      </c>
      <c r="E2489">
        <v>75</v>
      </c>
      <c r="F2489">
        <v>8</v>
      </c>
      <c r="G2489">
        <v>4</v>
      </c>
      <c r="H2489" s="1">
        <v>4.4907407407407405E-3</v>
      </c>
      <c r="I2489" t="s">
        <v>8</v>
      </c>
      <c r="J2489" t="s">
        <v>7</v>
      </c>
      <c r="K2489" s="2" t="str">
        <f>HYPERLINK("https://www.nba.com/stats/events?CFID=&amp;CFPARAMS=&amp;GameEventID=436&amp;GameID=0041600152&amp;Season=2016-17&amp;flag=1&amp;title=Green%2027'%203PT%20Jump%20Shot%20(12%20PTS)%20(Leonard%202%20AST)", "Green 27' 3PT Jump Shot (12 PTS) (Leonard 2 AST)")</f>
        <v>Green 27' 3PT Jump Shot (12 PTS) (Leonard 2 AST)</v>
      </c>
      <c r="L2489" s="2" t="str">
        <f>HYPERLINK("https://www.nba.com/game/...-vs-...-0041600152/play-by-play?watchFullGame=true", "SAS vs MEM - Q4 06:28.00")</f>
        <v>SAS vs MEM - Q4 06:28.00</v>
      </c>
      <c r="M2489">
        <v>27</v>
      </c>
      <c r="N2489">
        <v>197</v>
      </c>
      <c r="O2489">
        <v>183</v>
      </c>
      <c r="P2489">
        <v>197</v>
      </c>
      <c r="Q2489">
        <v>183</v>
      </c>
      <c r="R2489" t="s">
        <v>0</v>
      </c>
      <c r="S2489" t="s">
        <v>0</v>
      </c>
      <c r="T2489" t="s">
        <v>0</v>
      </c>
    </row>
    <row r="2490" spans="1:20" x14ac:dyDescent="0.25">
      <c r="A2490">
        <v>41600153</v>
      </c>
      <c r="B2490" t="s">
        <v>4</v>
      </c>
      <c r="C2490" t="s">
        <v>9</v>
      </c>
      <c r="D2490">
        <v>33</v>
      </c>
      <c r="E2490">
        <v>34</v>
      </c>
      <c r="F2490">
        <v>1</v>
      </c>
      <c r="G2490">
        <v>2</v>
      </c>
      <c r="H2490" s="1">
        <v>4.8726851851851848E-3</v>
      </c>
      <c r="I2490" t="s">
        <v>8</v>
      </c>
      <c r="J2490" t="s">
        <v>7</v>
      </c>
      <c r="K2490" s="2" t="str">
        <f>HYPERLINK("https://www.nba.com/stats/events?CFID=&amp;CFPARAMS=&amp;GameEventID=159&amp;GameID=0041600153&amp;Season=2016-17&amp;flag=1&amp;title=Anderson%2010'%20Jump%20Shot%20(3%20PTS)%20(Leonard%201%20AST)", "Anderson 10' Jump Shot (3 PTS) (Leonard 1 AST)")</f>
        <v>Anderson 10' Jump Shot (3 PTS) (Leonard 1 AST)</v>
      </c>
      <c r="L2490" s="2" t="str">
        <f>HYPERLINK("https://www.nba.com/game/...-vs-...-0041600153/play-by-play?watchFullGame=true", "SAS vs MEM - Q2 07:01.00")</f>
        <v>SAS vs MEM - Q2 07:01.00</v>
      </c>
      <c r="M2490">
        <v>10</v>
      </c>
      <c r="N2490">
        <v>-50</v>
      </c>
      <c r="O2490">
        <v>87</v>
      </c>
      <c r="P2490">
        <v>-50</v>
      </c>
      <c r="Q2490">
        <v>87</v>
      </c>
      <c r="R2490" t="s">
        <v>0</v>
      </c>
      <c r="S2490" t="s">
        <v>0</v>
      </c>
      <c r="T2490" t="s">
        <v>0</v>
      </c>
    </row>
    <row r="2491" spans="1:20" x14ac:dyDescent="0.25">
      <c r="A2491">
        <v>41600231</v>
      </c>
      <c r="B2491" t="s">
        <v>10</v>
      </c>
      <c r="C2491" t="s">
        <v>9</v>
      </c>
      <c r="D2491">
        <v>42</v>
      </c>
      <c r="E2491">
        <v>73</v>
      </c>
      <c r="F2491">
        <v>31</v>
      </c>
      <c r="G2491">
        <v>3</v>
      </c>
      <c r="H2491" s="1">
        <v>5.7870370370370367E-3</v>
      </c>
      <c r="I2491" t="s">
        <v>8</v>
      </c>
      <c r="J2491" t="s">
        <v>7</v>
      </c>
      <c r="K2491" s="2" t="str">
        <f>HYPERLINK("https://www.nba.com/stats/events?CFID=&amp;CFPARAMS=&amp;GameEventID=297&amp;GameID=0041600231&amp;Season=2016-17&amp;flag=1&amp;title=Parker%203PT%20Jump%20Shot%20(7%20PTS)%20(Leonard%204%20AST)", "Parker 3PT Jump Shot (7 PTS) (Leonard 4 AST)")</f>
        <v>Parker 3PT Jump Shot (7 PTS) (Leonard 4 AST)</v>
      </c>
      <c r="L2491" s="2" t="str">
        <f>HYPERLINK("https://www.nba.com/game/...-vs-...-0041600231/play-by-play?watchFullGame=true", "SAS vs HOU - Q3 08:20.00")</f>
        <v>SAS vs HOU - Q3 08:20.00</v>
      </c>
      <c r="M2491">
        <v>0</v>
      </c>
      <c r="N2491">
        <v>227</v>
      </c>
      <c r="O2491">
        <v>-19</v>
      </c>
      <c r="P2491">
        <v>227</v>
      </c>
      <c r="Q2491">
        <v>-19</v>
      </c>
      <c r="R2491" t="s">
        <v>0</v>
      </c>
      <c r="S2491" t="s">
        <v>0</v>
      </c>
      <c r="T2491" t="s">
        <v>0</v>
      </c>
    </row>
    <row r="2492" spans="1:20" x14ac:dyDescent="0.25">
      <c r="A2492">
        <v>41600235</v>
      </c>
      <c r="B2492" t="s">
        <v>4</v>
      </c>
      <c r="C2492" t="s">
        <v>28</v>
      </c>
      <c r="D2492">
        <v>22</v>
      </c>
      <c r="E2492">
        <v>16</v>
      </c>
      <c r="F2492">
        <v>6</v>
      </c>
      <c r="G2492">
        <v>1</v>
      </c>
      <c r="H2492" s="1">
        <v>3.8078703703703703E-3</v>
      </c>
      <c r="I2492" t="s">
        <v>8</v>
      </c>
      <c r="J2492" t="s">
        <v>7</v>
      </c>
      <c r="K2492" s="2" t="str">
        <f>HYPERLINK("https://www.nba.com/stats/events?CFID=&amp;CFPARAMS=&amp;GameEventID=66&amp;GameID=0041600235&amp;Season=2016-17&amp;flag=1&amp;title=Simmons%201'%20Driving%20Finger%20Roll%20Layup%20(2%20PTS)%20(Leonard%203%20AST)", "Simmons 1' Driving Finger Roll Layup (2 PTS) (Leonard 3 AST)")</f>
        <v>Simmons 1' Driving Finger Roll Layup (2 PTS) (Leonard 3 AST)</v>
      </c>
      <c r="L2492" s="2" t="str">
        <f>HYPERLINK("https://www.nba.com/game/...-vs-...-0041600235/play-by-play?watchFullGame=true", "SAS vs HOU - Q1 05:29.00")</f>
        <v>SAS vs HOU - Q1 05:29.00</v>
      </c>
      <c r="M2492">
        <v>1</v>
      </c>
      <c r="N2492">
        <v>-6</v>
      </c>
      <c r="O2492">
        <v>-5</v>
      </c>
      <c r="P2492">
        <v>-6</v>
      </c>
      <c r="Q2492">
        <v>-5</v>
      </c>
      <c r="R2492" t="s">
        <v>0</v>
      </c>
      <c r="S2492" t="s">
        <v>0</v>
      </c>
      <c r="T2492" t="s">
        <v>0</v>
      </c>
    </row>
    <row r="2493" spans="1:20" x14ac:dyDescent="0.25">
      <c r="A2493">
        <v>41600235</v>
      </c>
      <c r="B2493" t="s">
        <v>10</v>
      </c>
      <c r="C2493" t="s">
        <v>9</v>
      </c>
      <c r="D2493">
        <v>3</v>
      </c>
      <c r="E2493">
        <v>0</v>
      </c>
      <c r="F2493">
        <v>3</v>
      </c>
      <c r="G2493">
        <v>1</v>
      </c>
      <c r="H2493" s="1">
        <v>8.1018518518518514E-3</v>
      </c>
      <c r="I2493" t="s">
        <v>8</v>
      </c>
      <c r="J2493" t="s">
        <v>7</v>
      </c>
      <c r="K2493" s="2" t="str">
        <f>HYPERLINK("https://www.nba.com/stats/events?CFID=&amp;CFPARAMS=&amp;GameEventID=2&amp;GameID=0041600235&amp;Season=2016-17&amp;flag=1&amp;title=Green%2025'%203PT%20Jump%20Shot%20(3%20PTS)%20(Leonard%201%20AST)", "Green 25' 3PT Jump Shot (3 PTS) (Leonard 1 AST)")</f>
        <v>Green 25' 3PT Jump Shot (3 PTS) (Leonard 1 AST)</v>
      </c>
      <c r="L2493" s="2" t="str">
        <f>HYPERLINK("https://www.nba.com/game/...-vs-...-0041600235/play-by-play?watchFullGame=true", "SAS vs HOU - Q1 11:40.00")</f>
        <v>SAS vs HOU - Q1 11:40.00</v>
      </c>
      <c r="M2493">
        <v>25</v>
      </c>
      <c r="N2493">
        <v>-79</v>
      </c>
      <c r="O2493">
        <v>242</v>
      </c>
      <c r="P2493">
        <v>-79</v>
      </c>
      <c r="Q2493">
        <v>242</v>
      </c>
      <c r="R2493" t="s">
        <v>0</v>
      </c>
      <c r="S2493" t="s">
        <v>0</v>
      </c>
      <c r="T2493" t="s">
        <v>0</v>
      </c>
    </row>
    <row r="2494" spans="1:20" x14ac:dyDescent="0.25">
      <c r="A2494">
        <v>41800111</v>
      </c>
      <c r="B2494" t="s">
        <v>4</v>
      </c>
      <c r="C2494" t="s">
        <v>26</v>
      </c>
      <c r="D2494">
        <v>55</v>
      </c>
      <c r="E2494">
        <v>59</v>
      </c>
      <c r="F2494">
        <v>4</v>
      </c>
      <c r="G2494">
        <v>3</v>
      </c>
      <c r="H2494" s="1">
        <v>6.3888888888888893E-3</v>
      </c>
      <c r="I2494" t="s">
        <v>2</v>
      </c>
      <c r="J2494" t="s">
        <v>1</v>
      </c>
      <c r="K2494" s="2" t="str">
        <f>HYPERLINK("https://www.nba.com/stats/events?CFID=&amp;CFPARAMS=&amp;GameEventID=334&amp;GameID=0041800111&amp;Season=2018-19&amp;flag=1&amp;title=Siakam%201'%20Reverse%20Layup%20(12%20PTS)%20(Leonard%203%20AST)", "Siakam 1' Reverse Layup (12 PTS) (Leonard 3 AST)")</f>
        <v>Siakam 1' Reverse Layup (12 PTS) (Leonard 3 AST)</v>
      </c>
      <c r="L2494" s="2" t="str">
        <f>HYPERLINK("https://www.nba.com/game/...-vs-...-0041800111/play-by-play?watchFullGame=true", "TOR vs ORL - Q3 09:12.00")</f>
        <v>TOR vs ORL - Q3 09:12.00</v>
      </c>
      <c r="M2494">
        <v>1</v>
      </c>
      <c r="N2494">
        <v>9</v>
      </c>
      <c r="O2494">
        <v>-1</v>
      </c>
      <c r="P2494">
        <v>9</v>
      </c>
      <c r="Q2494">
        <v>-1</v>
      </c>
      <c r="R2494" t="s">
        <v>0</v>
      </c>
      <c r="S2494" t="s">
        <v>0</v>
      </c>
      <c r="T2494" t="s">
        <v>0</v>
      </c>
    </row>
    <row r="2495" spans="1:20" x14ac:dyDescent="0.25">
      <c r="A2495">
        <v>41600233</v>
      </c>
      <c r="B2495" t="s">
        <v>4</v>
      </c>
      <c r="C2495" t="s">
        <v>34</v>
      </c>
      <c r="D2495">
        <v>60</v>
      </c>
      <c r="E2495">
        <v>57</v>
      </c>
      <c r="F2495">
        <v>3</v>
      </c>
      <c r="G2495">
        <v>3</v>
      </c>
      <c r="H2495" s="1">
        <v>2.7777777777777779E-3</v>
      </c>
      <c r="I2495" t="s">
        <v>8</v>
      </c>
      <c r="J2495" t="s">
        <v>7</v>
      </c>
      <c r="K2495" s="2" t="str">
        <f>HYPERLINK("https://www.nba.com/stats/events?CFID=&amp;CFPARAMS=&amp;GameEventID=335&amp;GameID=0041600233&amp;Season=2016-17&amp;flag=1&amp;title=Aldridge%209'%20Driving%20Hook%20Shot%20(16%20PTS)%20(Leonard%206%20AST)", "Aldridge 9' Driving Hook Shot (16 PTS) (Leonard 6 AST)")</f>
        <v>Aldridge 9' Driving Hook Shot (16 PTS) (Leonard 6 AST)</v>
      </c>
      <c r="L2495" s="2" t="str">
        <f>HYPERLINK("https://www.nba.com/game/...-vs-...-0041600233/play-by-play?watchFullGame=true", "SAS vs HOU - Q3 04:00.00")</f>
        <v>SAS vs HOU - Q3 04:00.00</v>
      </c>
      <c r="M2495">
        <v>9</v>
      </c>
      <c r="N2495">
        <v>86</v>
      </c>
      <c r="O2495">
        <v>7</v>
      </c>
      <c r="P2495">
        <v>86</v>
      </c>
      <c r="Q2495">
        <v>7</v>
      </c>
      <c r="R2495" t="s">
        <v>0</v>
      </c>
      <c r="S2495" t="s">
        <v>0</v>
      </c>
      <c r="T2495" t="s">
        <v>0</v>
      </c>
    </row>
    <row r="2496" spans="1:20" x14ac:dyDescent="0.25">
      <c r="A2496">
        <v>41600233</v>
      </c>
      <c r="B2496" t="s">
        <v>4</v>
      </c>
      <c r="C2496" t="s">
        <v>23</v>
      </c>
      <c r="D2496">
        <v>23</v>
      </c>
      <c r="E2496">
        <v>26</v>
      </c>
      <c r="F2496">
        <v>3</v>
      </c>
      <c r="G2496">
        <v>2</v>
      </c>
      <c r="H2496" s="1">
        <v>7.0949074074074074E-3</v>
      </c>
      <c r="I2496" t="s">
        <v>8</v>
      </c>
      <c r="J2496" t="s">
        <v>7</v>
      </c>
      <c r="K2496" s="2" t="str">
        <f>HYPERLINK("https://www.nba.com/stats/events?CFID=&amp;CFPARAMS=&amp;GameEventID=151&amp;GameID=0041600233&amp;Season=2016-17&amp;flag=1&amp;title=Mills%201'%20Driving%20Layup%20(4%20PTS)%20(Leonard%204%20AST)", "Mills 1' Driving Layup (4 PTS) (Leonard 4 AST)")</f>
        <v>Mills 1' Driving Layup (4 PTS) (Leonard 4 AST)</v>
      </c>
      <c r="L2496" s="2" t="str">
        <f>HYPERLINK("https://www.nba.com/game/...-vs-...-0041600233/play-by-play?watchFullGame=true", "SAS vs HOU - Q2 10:13.00")</f>
        <v>SAS vs HOU - Q2 10:13.00</v>
      </c>
      <c r="M2496">
        <v>1</v>
      </c>
      <c r="N2496">
        <v>-9</v>
      </c>
      <c r="O2496">
        <v>7</v>
      </c>
      <c r="P2496">
        <v>-9</v>
      </c>
      <c r="Q2496">
        <v>7</v>
      </c>
      <c r="R2496" t="s">
        <v>0</v>
      </c>
      <c r="S2496" t="s">
        <v>0</v>
      </c>
      <c r="T2496" t="s">
        <v>0</v>
      </c>
    </row>
    <row r="2497" spans="1:20" x14ac:dyDescent="0.25">
      <c r="A2497">
        <v>41600234</v>
      </c>
      <c r="B2497" t="s">
        <v>10</v>
      </c>
      <c r="C2497" t="s">
        <v>9</v>
      </c>
      <c r="D2497">
        <v>9</v>
      </c>
      <c r="E2497">
        <v>12</v>
      </c>
      <c r="F2497">
        <v>3</v>
      </c>
      <c r="G2497">
        <v>1</v>
      </c>
      <c r="H2497" s="1">
        <v>5.2430555555555555E-3</v>
      </c>
      <c r="I2497" t="s">
        <v>8</v>
      </c>
      <c r="J2497" t="s">
        <v>7</v>
      </c>
      <c r="K2497" s="2" t="str">
        <f>HYPERLINK("https://www.nba.com/stats/events?CFID=&amp;CFPARAMS=&amp;GameEventID=41&amp;GameID=0041600234&amp;Season=2016-17&amp;flag=1&amp;title=Green%2024'%203PT%20Jump%20Shot%20(3%20PTS)%20(Leonard%201%20AST)", "Green 24' 3PT Jump Shot (3 PTS) (Leonard 1 AST)")</f>
        <v>Green 24' 3PT Jump Shot (3 PTS) (Leonard 1 AST)</v>
      </c>
      <c r="L2497" s="2" t="str">
        <f>HYPERLINK("https://www.nba.com/game/...-vs-...-0041600234/play-by-play?watchFullGame=true", "SAS vs HOU - Q1 07:33.00")</f>
        <v>SAS vs HOU - Q1 07:33.00</v>
      </c>
      <c r="M2497">
        <v>24</v>
      </c>
      <c r="N2497">
        <v>76</v>
      </c>
      <c r="O2497">
        <v>228</v>
      </c>
      <c r="P2497">
        <v>76</v>
      </c>
      <c r="Q2497">
        <v>228</v>
      </c>
      <c r="R2497" t="s">
        <v>0</v>
      </c>
      <c r="S2497" t="s">
        <v>0</v>
      </c>
      <c r="T2497" t="s">
        <v>0</v>
      </c>
    </row>
    <row r="2498" spans="1:20" x14ac:dyDescent="0.25">
      <c r="A2498">
        <v>41800214</v>
      </c>
      <c r="B2498" t="s">
        <v>10</v>
      </c>
      <c r="C2498" t="s">
        <v>9</v>
      </c>
      <c r="D2498">
        <v>34</v>
      </c>
      <c r="E2498">
        <v>30</v>
      </c>
      <c r="F2498">
        <v>4</v>
      </c>
      <c r="G2498">
        <v>2</v>
      </c>
      <c r="H2498" s="1">
        <v>5.138888888888889E-3</v>
      </c>
      <c r="I2498" t="s">
        <v>2</v>
      </c>
      <c r="J2498" t="s">
        <v>1</v>
      </c>
      <c r="K2498" s="2" t="str">
        <f>HYPERLINK("https://www.nba.com/stats/events?CFID=&amp;CFPARAMS=&amp;GameEventID=222&amp;GameID=0041800214&amp;Season=2018-19&amp;flag=1&amp;title=Lowry%2026'%203PT%20Jump%20Shot%20(10%20PTS)%20(Leonard%201%20AST)", "Lowry 26' 3PT Jump Shot (10 PTS) (Leonard 1 AST)")</f>
        <v>Lowry 26' 3PT Jump Shot (10 PTS) (Leonard 1 AST)</v>
      </c>
      <c r="L2498" s="2" t="str">
        <f>HYPERLINK("https://www.nba.com/game/...-vs-...-0041800214/play-by-play?watchFullGame=true", "TOR vs PHI - Q2 07:24.00")</f>
        <v>TOR vs PHI - Q2 07:24.00</v>
      </c>
      <c r="M2498">
        <v>26</v>
      </c>
      <c r="N2498">
        <v>142</v>
      </c>
      <c r="O2498">
        <v>213</v>
      </c>
      <c r="P2498">
        <v>142</v>
      </c>
      <c r="Q2498">
        <v>213</v>
      </c>
      <c r="R2498" t="s">
        <v>0</v>
      </c>
      <c r="S2498" t="s">
        <v>0</v>
      </c>
      <c r="T2498" t="s">
        <v>0</v>
      </c>
    </row>
    <row r="2499" spans="1:20" x14ac:dyDescent="0.25">
      <c r="A2499">
        <v>41800215</v>
      </c>
      <c r="B2499" t="s">
        <v>10</v>
      </c>
      <c r="C2499" t="s">
        <v>9</v>
      </c>
      <c r="D2499">
        <v>49</v>
      </c>
      <c r="E2499">
        <v>37</v>
      </c>
      <c r="F2499">
        <v>12</v>
      </c>
      <c r="G2499">
        <v>2</v>
      </c>
      <c r="H2499" s="1">
        <v>3.0208333333333333E-3</v>
      </c>
      <c r="I2499" t="s">
        <v>2</v>
      </c>
      <c r="J2499" t="s">
        <v>1</v>
      </c>
      <c r="K2499" s="2" t="str">
        <f>HYPERLINK("https://www.nba.com/stats/events?CFID=&amp;CFPARAMS=&amp;GameEventID=294&amp;GameID=0041800215&amp;Season=2018-19&amp;flag=1&amp;title=Green%2028'%203PT%20Jump%20Shot%20(8%20PTS)%20(Leonard%203%20AST)", "Green 28' 3PT Jump Shot (8 PTS) (Leonard 3 AST)")</f>
        <v>Green 28' 3PT Jump Shot (8 PTS) (Leonard 3 AST)</v>
      </c>
      <c r="L2499" s="2" t="str">
        <f>HYPERLINK("https://www.nba.com/game/...-vs-...-0041800215/play-by-play?watchFullGame=true", "TOR vs PHI - Q2 04:21.00")</f>
        <v>TOR vs PHI - Q2 04:21.00</v>
      </c>
      <c r="M2499">
        <v>28</v>
      </c>
      <c r="N2499">
        <v>166</v>
      </c>
      <c r="O2499">
        <v>224</v>
      </c>
      <c r="P2499">
        <v>166</v>
      </c>
      <c r="Q2499">
        <v>224</v>
      </c>
      <c r="R2499" t="s">
        <v>0</v>
      </c>
      <c r="S2499" t="s">
        <v>0</v>
      </c>
      <c r="T2499" t="s">
        <v>0</v>
      </c>
    </row>
    <row r="2500" spans="1:20" x14ac:dyDescent="0.25">
      <c r="A2500">
        <v>41800231</v>
      </c>
      <c r="B2500" t="s">
        <v>10</v>
      </c>
      <c r="C2500" t="s">
        <v>9</v>
      </c>
      <c r="D2500">
        <v>35</v>
      </c>
      <c r="E2500">
        <v>32</v>
      </c>
      <c r="F2500">
        <v>3</v>
      </c>
      <c r="G2500">
        <v>2</v>
      </c>
      <c r="H2500" s="1">
        <v>8.1481481481481474E-3</v>
      </c>
      <c r="I2500" t="s">
        <v>2</v>
      </c>
      <c r="J2500" t="s">
        <v>12</v>
      </c>
      <c r="K2500" s="2" t="str">
        <f>HYPERLINK("https://www.nba.com/stats/events?CFID=&amp;CFPARAMS=&amp;GameEventID=139&amp;GameID=0041800231&amp;Season=2018-19&amp;flag=1&amp;title=Hood%2025'%203PT%20Jump%20Shot%20(3%20PTS)%20(Leonard%201%20AST)", "Hood 25' 3PT Jump Shot (3 PTS) (Leonard 1 AST)")</f>
        <v>Hood 25' 3PT Jump Shot (3 PTS) (Leonard 1 AST)</v>
      </c>
      <c r="L2500" s="2" t="str">
        <f>HYPERLINK("https://www.nba.com/game/...-vs-...-0041800231/play-by-play?watchFullGame=true", "POR vs DEN - Q2 11:44.00")</f>
        <v>POR vs DEN - Q2 11:44.00</v>
      </c>
      <c r="M2500">
        <v>25</v>
      </c>
      <c r="N2500">
        <v>-160</v>
      </c>
      <c r="O2500">
        <v>195</v>
      </c>
      <c r="P2500">
        <v>-160</v>
      </c>
      <c r="Q2500">
        <v>195</v>
      </c>
      <c r="R2500" t="s">
        <v>0</v>
      </c>
      <c r="S2500" t="s">
        <v>0</v>
      </c>
      <c r="T2500" t="s">
        <v>0</v>
      </c>
    </row>
    <row r="2501" spans="1:20" x14ac:dyDescent="0.25">
      <c r="A2501">
        <v>41800402</v>
      </c>
      <c r="B2501" t="s">
        <v>4</v>
      </c>
      <c r="C2501" t="s">
        <v>24</v>
      </c>
      <c r="D2501">
        <v>54</v>
      </c>
      <c r="E2501">
        <v>45</v>
      </c>
      <c r="F2501">
        <v>9</v>
      </c>
      <c r="G2501">
        <v>2</v>
      </c>
      <c r="H2501" s="1">
        <v>1.6319444444444445E-3</v>
      </c>
      <c r="I2501" t="s">
        <v>2</v>
      </c>
      <c r="J2501" t="s">
        <v>1</v>
      </c>
      <c r="K2501" s="2" t="str">
        <f>HYPERLINK("https://www.nba.com/stats/events?CFID=&amp;CFPARAMS=&amp;GameEventID=313&amp;GameID=0041800402&amp;Season=2018-19&amp;flag=1&amp;title=Gasol%201'%20Cutting%20Finger%20Roll%20Layup%20Shot%20(6%20PTS)%20(Leonard%202%20AST)", "Gasol 1' Cutting Finger Roll Layup Shot (6 PTS) (Leonard 2 AST)")</f>
        <v>Gasol 1' Cutting Finger Roll Layup Shot (6 PTS) (Leonard 2 AST)</v>
      </c>
      <c r="L2501" s="2" t="str">
        <f>HYPERLINK("https://www.nba.com/game/...-vs-...-0041800402/play-by-play?watchFullGame=true", "TOR vs GSW - Q2 02:21.00")</f>
        <v>TOR vs GSW - Q2 02:21.00</v>
      </c>
      <c r="M2501">
        <v>1</v>
      </c>
      <c r="N2501">
        <v>-3</v>
      </c>
      <c r="O2501">
        <v>8</v>
      </c>
      <c r="P2501">
        <v>-3</v>
      </c>
      <c r="Q2501">
        <v>8</v>
      </c>
      <c r="R2501" t="s">
        <v>0</v>
      </c>
      <c r="S2501" t="s">
        <v>0</v>
      </c>
      <c r="T2501" t="s">
        <v>0</v>
      </c>
    </row>
    <row r="2502" spans="1:20" x14ac:dyDescent="0.25">
      <c r="A2502">
        <v>21801230</v>
      </c>
      <c r="B2502" t="s">
        <v>10</v>
      </c>
      <c r="C2502" t="s">
        <v>14</v>
      </c>
      <c r="D2502">
        <v>50</v>
      </c>
      <c r="E2502">
        <v>73</v>
      </c>
      <c r="F2502">
        <v>23</v>
      </c>
      <c r="G2502">
        <v>2</v>
      </c>
      <c r="H2502" s="1">
        <v>2.4074074074074076E-3</v>
      </c>
      <c r="I2502">
        <v>2018</v>
      </c>
      <c r="J2502" t="s">
        <v>12</v>
      </c>
      <c r="K2502" s="2" t="str">
        <f>HYPERLINK("https://www.nba.com/stats/events?CFID=&amp;CFPARAMS=&amp;GameEventID=247&amp;GameID=0021801230&amp;Season=2018-19&amp;flag=1&amp;title=Simons%2026'%203PT%20Step%20Back%20Jump%20Shot%20(14%20PTS)%20(Leonard%201%20AST)", "Simons 26' 3PT Step Back Jump Shot (14 PTS) (Leonard 1 AST)")</f>
        <v>Simons 26' 3PT Step Back Jump Shot (14 PTS) (Leonard 1 AST)</v>
      </c>
      <c r="L2502" s="2" t="str">
        <f>HYPERLINK("https://www.nba.com/game/...-vs-...-0021801230/play-by-play?watchFullGame=true", "POR vs SAC - Q2 03:28.00")</f>
        <v>POR vs SAC - Q2 03:28.00</v>
      </c>
      <c r="M2502">
        <v>26</v>
      </c>
      <c r="N2502">
        <v>73</v>
      </c>
      <c r="O2502">
        <v>253</v>
      </c>
      <c r="P2502">
        <v>73</v>
      </c>
      <c r="Q2502">
        <v>253</v>
      </c>
      <c r="R2502" t="s">
        <v>0</v>
      </c>
      <c r="S2502" t="s">
        <v>0</v>
      </c>
      <c r="T2502" t="s">
        <v>0</v>
      </c>
    </row>
    <row r="2503" spans="1:20" x14ac:dyDescent="0.25">
      <c r="A2503">
        <v>41800112</v>
      </c>
      <c r="B2503" t="s">
        <v>10</v>
      </c>
      <c r="C2503" t="s">
        <v>9</v>
      </c>
      <c r="D2503">
        <v>14</v>
      </c>
      <c r="E2503">
        <v>2</v>
      </c>
      <c r="F2503">
        <v>12</v>
      </c>
      <c r="G2503">
        <v>1</v>
      </c>
      <c r="H2503" s="1">
        <v>4.7685185185185183E-3</v>
      </c>
      <c r="I2503" t="s">
        <v>2</v>
      </c>
      <c r="J2503" t="s">
        <v>1</v>
      </c>
      <c r="K2503" s="2" t="str">
        <f>HYPERLINK("https://www.nba.com/stats/events?CFID=&amp;CFPARAMS=&amp;GameEventID=78&amp;GameID=0041800112&amp;Season=2018-19&amp;flag=1&amp;title=Lowry%2027'%203PT%20Jump%20Shot%20(4%20PTS)%20(Leonard%201%20AST)", "Lowry 27' 3PT Jump Shot (4 PTS) (Leonard 1 AST)")</f>
        <v>Lowry 27' 3PT Jump Shot (4 PTS) (Leonard 1 AST)</v>
      </c>
      <c r="L2503" s="2" t="str">
        <f>HYPERLINK("https://www.nba.com/game/...-vs-...-0041800112/play-by-play?watchFullGame=true", "TOR vs ORL - Q1 06:52.00")</f>
        <v>TOR vs ORL - Q1 06:52.00</v>
      </c>
      <c r="M2503">
        <v>27</v>
      </c>
      <c r="N2503">
        <v>-120</v>
      </c>
      <c r="O2503">
        <v>241</v>
      </c>
      <c r="P2503">
        <v>-120</v>
      </c>
      <c r="Q2503">
        <v>241</v>
      </c>
      <c r="R2503" t="s">
        <v>0</v>
      </c>
      <c r="S2503" t="s">
        <v>0</v>
      </c>
      <c r="T2503" t="s">
        <v>0</v>
      </c>
    </row>
    <row r="2504" spans="1:20" x14ac:dyDescent="0.25">
      <c r="A2504">
        <v>41800215</v>
      </c>
      <c r="B2504" t="s">
        <v>10</v>
      </c>
      <c r="C2504" t="s">
        <v>9</v>
      </c>
      <c r="D2504">
        <v>16</v>
      </c>
      <c r="E2504">
        <v>18</v>
      </c>
      <c r="F2504">
        <v>2</v>
      </c>
      <c r="G2504">
        <v>1</v>
      </c>
      <c r="H2504" s="1">
        <v>3.3217592592592591E-3</v>
      </c>
      <c r="I2504" t="s">
        <v>2</v>
      </c>
      <c r="J2504" t="s">
        <v>1</v>
      </c>
      <c r="K2504" s="2" t="str">
        <f>HYPERLINK("https://www.nba.com/stats/events?CFID=&amp;CFPARAMS=&amp;GameEventID=116&amp;GameID=0041800215&amp;Season=2018-19&amp;flag=1&amp;title=Siakam%203PT%20Jump%20Shot%20(5%20PTS)%20(Leonard%201%20AST)", "Siakam 3PT Jump Shot (5 PTS) (Leonard 1 AST)")</f>
        <v>Siakam 3PT Jump Shot (5 PTS) (Leonard 1 AST)</v>
      </c>
      <c r="L2504" s="2" t="str">
        <f>HYPERLINK("https://www.nba.com/game/...-vs-...-0041800215/play-by-play?watchFullGame=true", "TOR vs PHI - Q1 04:47.00")</f>
        <v>TOR vs PHI - Q1 04:47.00</v>
      </c>
      <c r="M2504">
        <v>0</v>
      </c>
      <c r="N2504">
        <v>-231</v>
      </c>
      <c r="O2504">
        <v>-4</v>
      </c>
      <c r="P2504">
        <v>-231</v>
      </c>
      <c r="Q2504">
        <v>-4</v>
      </c>
      <c r="R2504" t="s">
        <v>0</v>
      </c>
      <c r="S2504" t="s">
        <v>0</v>
      </c>
      <c r="T2504" t="s">
        <v>0</v>
      </c>
    </row>
    <row r="2505" spans="1:20" x14ac:dyDescent="0.25">
      <c r="A2505">
        <v>41800313</v>
      </c>
      <c r="B2505" t="s">
        <v>4</v>
      </c>
      <c r="C2505" t="s">
        <v>33</v>
      </c>
      <c r="D2505">
        <v>76</v>
      </c>
      <c r="E2505">
        <v>67</v>
      </c>
      <c r="F2505">
        <v>9</v>
      </c>
      <c r="G2505">
        <v>3</v>
      </c>
      <c r="H2505" s="1">
        <v>3.3680555555555556E-3</v>
      </c>
      <c r="I2505" t="s">
        <v>2</v>
      </c>
      <c r="J2505" t="s">
        <v>12</v>
      </c>
      <c r="K2505" s="2" t="str">
        <f>HYPERLINK("https://www.nba.com/stats/events?CFID=&amp;CFPARAMS=&amp;GameEventID=458&amp;GameID=0041800313&amp;Season=2018-19&amp;flag=1&amp;title=McCollum%2013'%20Driving%20Floating%20Bank%20Jump%20Shot%20(17%20PTS)%20(Leonard%203%20AST)", "McCollum 13' Driving Floating Bank Jump Shot (17 PTS) (Leonard 3 AST)")</f>
        <v>McCollum 13' Driving Floating Bank Jump Shot (17 PTS) (Leonard 3 AST)</v>
      </c>
      <c r="L2505" s="2" t="str">
        <f>HYPERLINK("https://www.nba.com/game/...-vs-...-0041800313/play-by-play?watchFullGame=true", "POR vs GSW - Q3 04:51.00")</f>
        <v>POR vs GSW - Q3 04:51.00</v>
      </c>
      <c r="M2505">
        <v>13</v>
      </c>
      <c r="N2505">
        <v>-101</v>
      </c>
      <c r="O2505">
        <v>77</v>
      </c>
      <c r="P2505">
        <v>-101</v>
      </c>
      <c r="Q2505">
        <v>77</v>
      </c>
      <c r="R2505" t="s">
        <v>0</v>
      </c>
      <c r="S2505" t="s">
        <v>0</v>
      </c>
      <c r="T2505" t="s">
        <v>0</v>
      </c>
    </row>
    <row r="2506" spans="1:20" x14ac:dyDescent="0.25">
      <c r="A2506">
        <v>41800403</v>
      </c>
      <c r="B2506" t="s">
        <v>10</v>
      </c>
      <c r="C2506" t="s">
        <v>19</v>
      </c>
      <c r="D2506">
        <v>96</v>
      </c>
      <c r="E2506">
        <v>80</v>
      </c>
      <c r="F2506">
        <v>16</v>
      </c>
      <c r="G2506">
        <v>3</v>
      </c>
      <c r="H2506" s="1">
        <v>3.4953703703703704E-4</v>
      </c>
      <c r="I2506" t="s">
        <v>2</v>
      </c>
      <c r="J2506" t="s">
        <v>1</v>
      </c>
      <c r="K2506" s="2" t="str">
        <f>HYPERLINK("https://www.nba.com/stats/events?CFID=&amp;CFPARAMS=&amp;GameEventID=497&amp;GameID=0041800403&amp;Season=2018-19&amp;flag=1&amp;title=Green%2027'%203PT%20Pullup%20Jump%20Shot%20(18%20PTS)%20(Leonard%205%20AST)", "Green 27' 3PT Pullup Jump Shot (18 PTS) (Leonard 5 AST)")</f>
        <v>Green 27' 3PT Pullup Jump Shot (18 PTS) (Leonard 5 AST)</v>
      </c>
      <c r="L2506" s="2" t="str">
        <f>HYPERLINK("https://www.nba.com/game/...-vs-...-0041800403/play-by-play?watchFullGame=true", "TOR vs GSW - Q3 00:30.20")</f>
        <v>TOR vs GSW - Q3 00:30.20</v>
      </c>
      <c r="M2506">
        <v>27</v>
      </c>
      <c r="N2506">
        <v>128</v>
      </c>
      <c r="O2506">
        <v>243</v>
      </c>
      <c r="P2506">
        <v>128</v>
      </c>
      <c r="Q2506">
        <v>243</v>
      </c>
      <c r="R2506" t="s">
        <v>0</v>
      </c>
      <c r="S2506" t="s">
        <v>0</v>
      </c>
      <c r="T2506" t="s">
        <v>0</v>
      </c>
    </row>
    <row r="2507" spans="1:20" x14ac:dyDescent="0.25">
      <c r="A2507">
        <v>41800406</v>
      </c>
      <c r="B2507" t="s">
        <v>10</v>
      </c>
      <c r="C2507" t="s">
        <v>9</v>
      </c>
      <c r="D2507">
        <v>29</v>
      </c>
      <c r="E2507">
        <v>27</v>
      </c>
      <c r="F2507">
        <v>2</v>
      </c>
      <c r="G2507">
        <v>1</v>
      </c>
      <c r="H2507" s="1">
        <v>1.0879629629629629E-3</v>
      </c>
      <c r="I2507" t="s">
        <v>2</v>
      </c>
      <c r="J2507" t="s">
        <v>1</v>
      </c>
      <c r="K2507" s="2" t="str">
        <f>HYPERLINK("https://www.nba.com/stats/events?CFID=&amp;CFPARAMS=&amp;GameEventID=139&amp;GameID=0041800406&amp;Season=2018-19&amp;flag=1&amp;title=Lowry%203PT%20Jump%20Shot%20(15%20PTS)%20(Leonard%202%20AST)", "Lowry 3PT Jump Shot (15 PTS) (Leonard 2 AST)")</f>
        <v>Lowry 3PT Jump Shot (15 PTS) (Leonard 2 AST)</v>
      </c>
      <c r="L2507" s="2" t="str">
        <f>HYPERLINK("https://www.nba.com/game/...-vs-...-0041800406/play-by-play?watchFullGame=true", "TOR vs GSW - Q1 01:34.00")</f>
        <v>TOR vs GSW - Q1 01:34.00</v>
      </c>
      <c r="M2507">
        <v>0</v>
      </c>
      <c r="N2507">
        <v>-229</v>
      </c>
      <c r="O2507">
        <v>8</v>
      </c>
      <c r="P2507">
        <v>-229</v>
      </c>
      <c r="Q2507">
        <v>8</v>
      </c>
      <c r="R2507" t="s">
        <v>0</v>
      </c>
      <c r="S2507" t="s">
        <v>0</v>
      </c>
      <c r="T2507" t="s">
        <v>0</v>
      </c>
    </row>
    <row r="2508" spans="1:20" x14ac:dyDescent="0.25">
      <c r="A2508">
        <v>41200151</v>
      </c>
      <c r="B2508" t="s">
        <v>4</v>
      </c>
      <c r="C2508" t="s">
        <v>9</v>
      </c>
      <c r="D2508">
        <v>2</v>
      </c>
      <c r="E2508">
        <v>2</v>
      </c>
      <c r="F2508">
        <v>0</v>
      </c>
      <c r="G2508">
        <v>1</v>
      </c>
      <c r="H2508" s="1">
        <v>7.0023148148148145E-3</v>
      </c>
      <c r="I2508" t="s">
        <v>27</v>
      </c>
      <c r="J2508" t="s">
        <v>7</v>
      </c>
      <c r="K2508" s="2" t="str">
        <f>HYPERLINK("https://www.nba.com/stats/events?CFID=&amp;CFPARAMS=&amp;GameEventID=16&amp;GameID=0041200151&amp;Season=2012-13&amp;flag=1&amp;title=Duncan%2019'%20Jump%20Shot%20(2%20PTS)%20(Leonard%201%20AST)", "Duncan 19' Jump Shot (2 PTS) (Leonard 1 AST)")</f>
        <v>Duncan 19' Jump Shot (2 PTS) (Leonard 1 AST)</v>
      </c>
      <c r="L2508" s="2" t="str">
        <f>HYPERLINK("https://www.nba.com/game/...-vs-...-0041200151/play-by-play?watchFullGame=true", "SAS vs LAL - Q1 10:05.00")</f>
        <v>SAS vs LAL - Q1 10:05.00</v>
      </c>
      <c r="M2508">
        <v>19</v>
      </c>
      <c r="N2508">
        <v>-86</v>
      </c>
      <c r="O2508">
        <v>172</v>
      </c>
      <c r="P2508">
        <v>-86</v>
      </c>
      <c r="Q2508">
        <v>172</v>
      </c>
      <c r="R2508" t="s">
        <v>0</v>
      </c>
      <c r="S2508" t="s">
        <v>0</v>
      </c>
      <c r="T2508" t="s">
        <v>0</v>
      </c>
    </row>
    <row r="2509" spans="1:20" x14ac:dyDescent="0.25">
      <c r="A2509">
        <v>41300224</v>
      </c>
      <c r="B2509" t="s">
        <v>4</v>
      </c>
      <c r="C2509" t="s">
        <v>9</v>
      </c>
      <c r="D2509">
        <v>8</v>
      </c>
      <c r="E2509">
        <v>5</v>
      </c>
      <c r="F2509">
        <v>3</v>
      </c>
      <c r="G2509">
        <v>1</v>
      </c>
      <c r="H2509" s="1">
        <v>6.5509259259259262E-3</v>
      </c>
      <c r="I2509" t="s">
        <v>15</v>
      </c>
      <c r="J2509" t="s">
        <v>7</v>
      </c>
      <c r="K2509" s="2" t="str">
        <f>HYPERLINK("https://www.nba.com/stats/events?CFID=&amp;CFPARAMS=&amp;GameEventID=18&amp;GameID=0041300224&amp;Season=2013-14&amp;flag=1&amp;title=Parker%2019'%20Jump%20Shot%20(4%20PTS)%20(Leonard%201%20AST)", "Parker 19' Jump Shot (4 PTS) (Leonard 1 AST)")</f>
        <v>Parker 19' Jump Shot (4 PTS) (Leonard 1 AST)</v>
      </c>
      <c r="L2509" s="2" t="str">
        <f>HYPERLINK("https://www.nba.com/game/...-vs-...-0041300224/play-by-play?watchFullGame=true", "SAS vs POR - Q1 09:26.00")</f>
        <v>SAS vs POR - Q1 09:26.00</v>
      </c>
      <c r="M2509">
        <v>19</v>
      </c>
      <c r="N2509">
        <v>113</v>
      </c>
      <c r="O2509">
        <v>157</v>
      </c>
      <c r="P2509">
        <v>113</v>
      </c>
      <c r="Q2509">
        <v>157</v>
      </c>
      <c r="R2509" t="s">
        <v>0</v>
      </c>
      <c r="S2509" t="s">
        <v>0</v>
      </c>
      <c r="T2509" t="s">
        <v>0</v>
      </c>
    </row>
    <row r="2510" spans="1:20" x14ac:dyDescent="0.25">
      <c r="A2510">
        <v>41300316</v>
      </c>
      <c r="B2510" t="s">
        <v>4</v>
      </c>
      <c r="C2510" t="s">
        <v>26</v>
      </c>
      <c r="D2510">
        <v>83</v>
      </c>
      <c r="E2510">
        <v>72</v>
      </c>
      <c r="F2510">
        <v>11</v>
      </c>
      <c r="G2510">
        <v>4</v>
      </c>
      <c r="H2510" s="1">
        <v>6.9560185185185185E-3</v>
      </c>
      <c r="I2510" t="s">
        <v>15</v>
      </c>
      <c r="J2510" t="s">
        <v>7</v>
      </c>
      <c r="K2510" s="2" t="str">
        <f>HYPERLINK("https://www.nba.com/stats/events?CFID=&amp;CFPARAMS=&amp;GameEventID=396&amp;GameID=0041300316&amp;Season=2013-14&amp;flag=1&amp;title=Green%202'%20Reverse%20Layup%20(8%20PTS)%20(Leonard%202%20AST)", "Green 2' Reverse Layup (8 PTS) (Leonard 2 AST)")</f>
        <v>Green 2' Reverse Layup (8 PTS) (Leonard 2 AST)</v>
      </c>
      <c r="L2510" s="2" t="str">
        <f>HYPERLINK("https://www.nba.com/game/...-vs-...-0041300316/play-by-play?watchFullGame=true", "SAS vs OKC - Q4 10:01.00")</f>
        <v>SAS vs OKC - Q4 10:01.00</v>
      </c>
      <c r="M2510">
        <v>2</v>
      </c>
      <c r="N2510">
        <v>-16</v>
      </c>
      <c r="O2510">
        <v>1</v>
      </c>
      <c r="P2510">
        <v>-16</v>
      </c>
      <c r="Q2510">
        <v>1</v>
      </c>
      <c r="R2510" t="s">
        <v>0</v>
      </c>
      <c r="S2510" t="s">
        <v>0</v>
      </c>
      <c r="T2510" t="s">
        <v>0</v>
      </c>
    </row>
    <row r="2511" spans="1:20" x14ac:dyDescent="0.25">
      <c r="A2511">
        <v>41600151</v>
      </c>
      <c r="B2511" t="s">
        <v>4</v>
      </c>
      <c r="C2511" t="s">
        <v>32</v>
      </c>
      <c r="D2511">
        <v>13</v>
      </c>
      <c r="E2511">
        <v>24</v>
      </c>
      <c r="F2511">
        <v>11</v>
      </c>
      <c r="G2511">
        <v>1</v>
      </c>
      <c r="H2511" s="1">
        <v>2.5694444444444445E-3</v>
      </c>
      <c r="I2511" t="s">
        <v>8</v>
      </c>
      <c r="J2511" t="s">
        <v>7</v>
      </c>
      <c r="K2511" s="2" t="str">
        <f>HYPERLINK("https://www.nba.com/stats/events?CFID=&amp;CFPARAMS=&amp;GameEventID=58&amp;GameID=0041600151&amp;Season=2016-17&amp;flag=1&amp;title=Lee%208'%20Hook%20Bank%20Shot%20(2%20PTS)%20(Leonard%201%20AST)", "Lee 8' Hook Bank Shot (2 PTS) (Leonard 1 AST)")</f>
        <v>Lee 8' Hook Bank Shot (2 PTS) (Leonard 1 AST)</v>
      </c>
      <c r="L2511" s="2" t="str">
        <f>HYPERLINK("https://www.nba.com/game/...-vs-...-0041600151/play-by-play?watchFullGame=true", "SAS vs MEM - Q1 03:42.00")</f>
        <v>SAS vs MEM - Q1 03:42.00</v>
      </c>
      <c r="M2511">
        <v>8</v>
      </c>
      <c r="N2511">
        <v>56</v>
      </c>
      <c r="O2511">
        <v>51</v>
      </c>
      <c r="P2511">
        <v>56</v>
      </c>
      <c r="Q2511">
        <v>51</v>
      </c>
      <c r="R2511" t="s">
        <v>0</v>
      </c>
      <c r="S2511" t="s">
        <v>0</v>
      </c>
      <c r="T2511" t="s">
        <v>0</v>
      </c>
    </row>
    <row r="2512" spans="1:20" x14ac:dyDescent="0.25">
      <c r="A2512">
        <v>41600156</v>
      </c>
      <c r="B2512" t="s">
        <v>4</v>
      </c>
      <c r="C2512" t="s">
        <v>6</v>
      </c>
      <c r="D2512">
        <v>64</v>
      </c>
      <c r="E2512">
        <v>66</v>
      </c>
      <c r="F2512">
        <v>2</v>
      </c>
      <c r="G2512">
        <v>3</v>
      </c>
      <c r="H2512" s="1">
        <v>2.7662037037037039E-3</v>
      </c>
      <c r="I2512" t="s">
        <v>8</v>
      </c>
      <c r="J2512" t="s">
        <v>7</v>
      </c>
      <c r="K2512" s="2" t="str">
        <f>HYPERLINK("https://www.nba.com/stats/events?CFID=&amp;CFPARAMS=&amp;GameEventID=295&amp;GameID=0041600156&amp;Season=2016-17&amp;flag=1&amp;title=Aldridge%20%20Cutting%20Dunk%20Shot%20(12%20PTS)%20(Leonard%201%20AST)", "Aldridge  Cutting Dunk Shot (12 PTS) (Leonard 1 AST)")</f>
        <v>Aldridge  Cutting Dunk Shot (12 PTS) (Leonard 1 AST)</v>
      </c>
      <c r="L2512" s="2" t="str">
        <f>HYPERLINK("https://www.nba.com/game/...-vs-...-0041600156/play-by-play?watchFullGame=true", "SAS vs MEM - Q3 03:59.00")</f>
        <v>SAS vs MEM - Q3 03:59.00</v>
      </c>
      <c r="M2512">
        <v>0</v>
      </c>
      <c r="N2512">
        <v>0</v>
      </c>
      <c r="O2512">
        <v>1</v>
      </c>
      <c r="P2512">
        <v>0</v>
      </c>
      <c r="Q2512">
        <v>1</v>
      </c>
      <c r="R2512" t="s">
        <v>0</v>
      </c>
      <c r="S2512" t="s">
        <v>0</v>
      </c>
      <c r="T2512" t="s">
        <v>0</v>
      </c>
    </row>
    <row r="2513" spans="1:20" x14ac:dyDescent="0.25">
      <c r="A2513">
        <v>21800763</v>
      </c>
      <c r="B2513" t="s">
        <v>4</v>
      </c>
      <c r="C2513" t="s">
        <v>29</v>
      </c>
      <c r="D2513">
        <v>76</v>
      </c>
      <c r="E2513">
        <v>58</v>
      </c>
      <c r="F2513">
        <v>18</v>
      </c>
      <c r="G2513">
        <v>3</v>
      </c>
      <c r="H2513" s="1">
        <v>8.1018518518518514E-3</v>
      </c>
      <c r="I2513">
        <v>2018</v>
      </c>
      <c r="J2513" t="s">
        <v>12</v>
      </c>
      <c r="K2513" s="2" t="str">
        <f>HYPERLINK("https://www.nba.com/stats/events?CFID=&amp;CFPARAMS=&amp;GameEventID=330&amp;GameID=0021800763&amp;Season=2018-19&amp;flag=1&amp;title=McCollum%2010'%20Driving%20Floating%20Jump%20Shot%20(23%20PTS)%20(Leonard%203%20AST)", "McCollum 10' Driving Floating Jump Shot (23 PTS) (Leonard 3 AST)")</f>
        <v>McCollum 10' Driving Floating Jump Shot (23 PTS) (Leonard 3 AST)</v>
      </c>
      <c r="L2513" s="2" t="str">
        <f>HYPERLINK("https://www.nba.com/game/...-vs-...-0021800763/play-by-play?watchFullGame=true", "POR vs UTA - Q3 11:40.00")</f>
        <v>POR vs UTA - Q3 11:40.00</v>
      </c>
      <c r="M2513">
        <v>10</v>
      </c>
      <c r="N2513">
        <v>-43</v>
      </c>
      <c r="O2513">
        <v>92</v>
      </c>
      <c r="P2513">
        <v>-43</v>
      </c>
      <c r="Q2513">
        <v>92</v>
      </c>
      <c r="R2513" t="s">
        <v>0</v>
      </c>
      <c r="S2513" t="s">
        <v>0</v>
      </c>
      <c r="T2513" t="s">
        <v>0</v>
      </c>
    </row>
    <row r="2514" spans="1:20" x14ac:dyDescent="0.25">
      <c r="A2514">
        <v>21800763</v>
      </c>
      <c r="B2514" t="s">
        <v>4</v>
      </c>
      <c r="C2514" t="s">
        <v>31</v>
      </c>
      <c r="D2514">
        <v>86</v>
      </c>
      <c r="E2514">
        <v>70</v>
      </c>
      <c r="F2514">
        <v>16</v>
      </c>
      <c r="G2514">
        <v>3</v>
      </c>
      <c r="H2514" s="1">
        <v>4.5138888888888885E-3</v>
      </c>
      <c r="I2514">
        <v>2018</v>
      </c>
      <c r="J2514" t="s">
        <v>12</v>
      </c>
      <c r="K2514" s="2" t="str">
        <f>HYPERLINK("https://www.nba.com/stats/events?CFID=&amp;CFPARAMS=&amp;GameEventID=381&amp;GameID=0021800763&amp;Season=2018-19&amp;flag=1&amp;title=McCollum%201'%20Driving%20Reverse%20Layup%20(25%20PTS)%20(Leonard%204%20AST)", "McCollum 1' Driving Reverse Layup (25 PTS) (Leonard 4 AST)")</f>
        <v>McCollum 1' Driving Reverse Layup (25 PTS) (Leonard 4 AST)</v>
      </c>
      <c r="L2514" s="2" t="str">
        <f>HYPERLINK("https://www.nba.com/game/...-vs-...-0021800763/play-by-play?watchFullGame=true", "POR vs UTA - Q3 06:30.00")</f>
        <v>POR vs UTA - Q3 06:30.00</v>
      </c>
      <c r="M2514">
        <v>1</v>
      </c>
      <c r="N2514">
        <v>6</v>
      </c>
      <c r="O2514">
        <v>0</v>
      </c>
      <c r="P2514">
        <v>6</v>
      </c>
      <c r="Q2514">
        <v>0</v>
      </c>
      <c r="R2514" t="s">
        <v>0</v>
      </c>
      <c r="S2514" t="s">
        <v>0</v>
      </c>
      <c r="T2514" t="s">
        <v>0</v>
      </c>
    </row>
    <row r="2515" spans="1:20" x14ac:dyDescent="0.25">
      <c r="A2515">
        <v>21800789</v>
      </c>
      <c r="B2515" t="s">
        <v>10</v>
      </c>
      <c r="C2515" t="s">
        <v>9</v>
      </c>
      <c r="D2515">
        <v>14</v>
      </c>
      <c r="E2515">
        <v>9</v>
      </c>
      <c r="F2515">
        <v>5</v>
      </c>
      <c r="G2515">
        <v>1</v>
      </c>
      <c r="H2515" s="1">
        <v>5.138888888888889E-3</v>
      </c>
      <c r="I2515">
        <v>2018</v>
      </c>
      <c r="J2515" t="s">
        <v>1</v>
      </c>
      <c r="K2515" s="2" t="str">
        <f>HYPERLINK("https://www.nba.com/stats/events?CFID=&amp;CFPARAMS=&amp;GameEventID=54&amp;GameID=0021800789&amp;Season=2018-19&amp;flag=1&amp;title=Siakam%203PT%20Jump%20Shot%20(3%20PTS)%20(Leonard%202%20AST)", "Siakam 3PT Jump Shot (3 PTS) (Leonard 2 AST)")</f>
        <v>Siakam 3PT Jump Shot (3 PTS) (Leonard 2 AST)</v>
      </c>
      <c r="L2515" s="2" t="str">
        <f>HYPERLINK("https://www.nba.com/game/...-vs-...-0021800789/play-by-play?watchFullGame=true", "TOR vs LAC - Q1 07:24.00")</f>
        <v>TOR vs LAC - Q1 07:24.00</v>
      </c>
      <c r="M2515">
        <v>0</v>
      </c>
      <c r="N2515">
        <v>-231</v>
      </c>
      <c r="O2515">
        <v>23</v>
      </c>
      <c r="P2515">
        <v>-231</v>
      </c>
      <c r="Q2515">
        <v>23</v>
      </c>
      <c r="R2515" t="s">
        <v>0</v>
      </c>
      <c r="S2515" t="s">
        <v>0</v>
      </c>
      <c r="T2515" t="s">
        <v>0</v>
      </c>
    </row>
    <row r="2516" spans="1:20" x14ac:dyDescent="0.25">
      <c r="A2516">
        <v>21800803</v>
      </c>
      <c r="B2516" t="s">
        <v>10</v>
      </c>
      <c r="C2516" t="s">
        <v>9</v>
      </c>
      <c r="D2516">
        <v>88</v>
      </c>
      <c r="E2516">
        <v>96</v>
      </c>
      <c r="F2516">
        <v>8</v>
      </c>
      <c r="G2516">
        <v>4</v>
      </c>
      <c r="H2516" s="1">
        <v>6.4467592592592588E-3</v>
      </c>
      <c r="I2516">
        <v>2018</v>
      </c>
      <c r="J2516" t="s">
        <v>12</v>
      </c>
      <c r="K2516" s="2" t="str">
        <f>HYPERLINK("https://www.nba.com/stats/events?CFID=&amp;CFPARAMS=&amp;GameEventID=481&amp;GameID=0021800803&amp;Season=2018-19&amp;flag=1&amp;title=Curry%2025'%203PT%20Jump%20Shot%20(7%20PTS)%20(Leonard%202%20AST)", "Curry 25' 3PT Jump Shot (7 PTS) (Leonard 2 AST)")</f>
        <v>Curry 25' 3PT Jump Shot (7 PTS) (Leonard 2 AST)</v>
      </c>
      <c r="L2516" s="2" t="str">
        <f>HYPERLINK("https://www.nba.com/game/...-vs-...-0021800803/play-by-play?watchFullGame=true", "POR vs MIA - Q4 09:17.00")</f>
        <v>POR vs MIA - Q4 09:17.00</v>
      </c>
      <c r="M2516">
        <v>25</v>
      </c>
      <c r="N2516">
        <v>-177</v>
      </c>
      <c r="O2516">
        <v>174</v>
      </c>
      <c r="P2516">
        <v>-177</v>
      </c>
      <c r="Q2516">
        <v>174</v>
      </c>
      <c r="R2516" t="s">
        <v>0</v>
      </c>
      <c r="S2516" t="s">
        <v>0</v>
      </c>
      <c r="T2516" t="s">
        <v>0</v>
      </c>
    </row>
    <row r="2517" spans="1:20" x14ac:dyDescent="0.25">
      <c r="A2517">
        <v>21800930</v>
      </c>
      <c r="B2517" t="s">
        <v>4</v>
      </c>
      <c r="C2517" t="s">
        <v>28</v>
      </c>
      <c r="D2517">
        <v>90</v>
      </c>
      <c r="E2517">
        <v>74</v>
      </c>
      <c r="F2517">
        <v>16</v>
      </c>
      <c r="G2517">
        <v>3</v>
      </c>
      <c r="H2517" s="1">
        <v>2.4421296296296296E-3</v>
      </c>
      <c r="I2517">
        <v>2018</v>
      </c>
      <c r="J2517" t="s">
        <v>1</v>
      </c>
      <c r="K2517" s="2" t="str">
        <f>HYPERLINK("https://www.nba.com/stats/events?CFID=&amp;CFPARAMS=&amp;GameEventID=410&amp;GameID=0021800930&amp;Season=2018-19&amp;flag=1&amp;title=Powell%202'%20Driving%20Finger%20Roll%20Layup%20(4%20PTS)%20(Leonard%204%20AST)", "Powell 2' Driving Finger Roll Layup (4 PTS) (Leonard 4 AST)")</f>
        <v>Powell 2' Driving Finger Roll Layup (4 PTS) (Leonard 4 AST)</v>
      </c>
      <c r="L2517" s="2" t="str">
        <f>HYPERLINK("https://www.nba.com/game/...-vs-...-0021800930/play-by-play?watchFullGame=true", "TOR vs POR - Q3 03:31.00")</f>
        <v>TOR vs POR - Q3 03:31.00</v>
      </c>
      <c r="M2517">
        <v>2</v>
      </c>
      <c r="N2517">
        <v>-8</v>
      </c>
      <c r="O2517">
        <v>15</v>
      </c>
      <c r="P2517">
        <v>-8</v>
      </c>
      <c r="Q2517">
        <v>15</v>
      </c>
      <c r="R2517" t="s">
        <v>0</v>
      </c>
      <c r="S2517" t="s">
        <v>0</v>
      </c>
      <c r="T2517" t="s">
        <v>0</v>
      </c>
    </row>
    <row r="2518" spans="1:20" x14ac:dyDescent="0.25">
      <c r="A2518">
        <v>21801117</v>
      </c>
      <c r="B2518" t="s">
        <v>4</v>
      </c>
      <c r="C2518" t="s">
        <v>19</v>
      </c>
      <c r="D2518">
        <v>22</v>
      </c>
      <c r="E2518">
        <v>12</v>
      </c>
      <c r="F2518">
        <v>10</v>
      </c>
      <c r="G2518">
        <v>1</v>
      </c>
      <c r="H2518" s="1">
        <v>8.3333333333333339E-4</v>
      </c>
      <c r="I2518">
        <v>2018</v>
      </c>
      <c r="J2518" t="s">
        <v>12</v>
      </c>
      <c r="K2518" s="2" t="str">
        <f>HYPERLINK("https://www.nba.com/stats/events?CFID=&amp;CFPARAMS=&amp;GameEventID=143&amp;GameID=0021801117&amp;Season=2018-19&amp;flag=1&amp;title=Hood%2015'%20Pullup%20Jump%20Shot%20(2%20PTS)%20(Leonard%201%20AST)", "Hood 15' Pullup Jump Shot (2 PTS) (Leonard 1 AST)")</f>
        <v>Hood 15' Pullup Jump Shot (2 PTS) (Leonard 1 AST)</v>
      </c>
      <c r="L2518" s="2" t="str">
        <f>HYPERLINK("https://www.nba.com/game/...-vs-...-0021801117/play-by-play?watchFullGame=true", "POR vs CHI - Q1 01:12.00")</f>
        <v>POR vs CHI - Q1 01:12.00</v>
      </c>
      <c r="M2518">
        <v>15</v>
      </c>
      <c r="N2518">
        <v>-35</v>
      </c>
      <c r="O2518">
        <v>146</v>
      </c>
      <c r="P2518">
        <v>-35</v>
      </c>
      <c r="Q2518">
        <v>146</v>
      </c>
      <c r="R2518" t="s">
        <v>0</v>
      </c>
      <c r="S2518" t="s">
        <v>0</v>
      </c>
      <c r="T2518" t="s">
        <v>0</v>
      </c>
    </row>
    <row r="2519" spans="1:20" x14ac:dyDescent="0.25">
      <c r="A2519">
        <v>41600234</v>
      </c>
      <c r="B2519" t="s">
        <v>4</v>
      </c>
      <c r="C2519" t="s">
        <v>5</v>
      </c>
      <c r="D2519">
        <v>26</v>
      </c>
      <c r="E2519">
        <v>37</v>
      </c>
      <c r="F2519">
        <v>11</v>
      </c>
      <c r="G2519">
        <v>2</v>
      </c>
      <c r="H2519" s="1">
        <v>7.2569444444444443E-3</v>
      </c>
      <c r="I2519" t="s">
        <v>8</v>
      </c>
      <c r="J2519" t="s">
        <v>7</v>
      </c>
      <c r="K2519" s="2" t="str">
        <f>HYPERLINK("https://www.nba.com/stats/events?CFID=&amp;CFPARAMS=&amp;GameEventID=154&amp;GameID=0041600234&amp;Season=2016-17&amp;flag=1&amp;title=Lee%201'%20Layup%20(2%20PTS)%20(Leonard%202%20AST)", "Lee 1' Layup (2 PTS) (Leonard 2 AST)")</f>
        <v>Lee 1' Layup (2 PTS) (Leonard 2 AST)</v>
      </c>
      <c r="L2519" s="2" t="str">
        <f>HYPERLINK("https://www.nba.com/game/...-vs-...-0041600234/play-by-play?watchFullGame=true", "SAS vs HOU - Q2 10:27.00")</f>
        <v>SAS vs HOU - Q2 10:27.00</v>
      </c>
      <c r="M2519">
        <v>1</v>
      </c>
      <c r="N2519">
        <v>0</v>
      </c>
      <c r="O2519">
        <v>-6</v>
      </c>
      <c r="P2519">
        <v>0</v>
      </c>
      <c r="Q2519">
        <v>-6</v>
      </c>
      <c r="R2519" t="s">
        <v>0</v>
      </c>
      <c r="S2519" t="s">
        <v>0</v>
      </c>
      <c r="T2519" t="s">
        <v>0</v>
      </c>
    </row>
    <row r="2520" spans="1:20" x14ac:dyDescent="0.25">
      <c r="A2520">
        <v>41800214</v>
      </c>
      <c r="B2520" t="s">
        <v>4</v>
      </c>
      <c r="C2520" t="s">
        <v>9</v>
      </c>
      <c r="D2520">
        <v>87</v>
      </c>
      <c r="E2520">
        <v>84</v>
      </c>
      <c r="F2520">
        <v>3</v>
      </c>
      <c r="G2520">
        <v>4</v>
      </c>
      <c r="H2520" s="1">
        <v>3.425925925925926E-3</v>
      </c>
      <c r="I2520" t="s">
        <v>2</v>
      </c>
      <c r="J2520" t="s">
        <v>1</v>
      </c>
      <c r="K2520" s="2" t="str">
        <f>HYPERLINK("https://www.nba.com/stats/events?CFID=&amp;CFPARAMS=&amp;GameEventID=571&amp;GameID=0041800214&amp;Season=2018-19&amp;flag=1&amp;title=Ibaka%2013'%20Jump%20Shot%20(12%20PTS)%20(Leonard%205%20AST)", "Ibaka 13' Jump Shot (12 PTS) (Leonard 5 AST)")</f>
        <v>Ibaka 13' Jump Shot (12 PTS) (Leonard 5 AST)</v>
      </c>
      <c r="L2520" s="2" t="str">
        <f>HYPERLINK("https://www.nba.com/game/...-vs-...-0041800214/play-by-play?watchFullGame=true", "TOR vs PHI - Q4 04:56.00")</f>
        <v>TOR vs PHI - Q4 04:56.00</v>
      </c>
      <c r="M2520">
        <v>13</v>
      </c>
      <c r="N2520">
        <v>133</v>
      </c>
      <c r="O2520">
        <v>21</v>
      </c>
      <c r="P2520">
        <v>133</v>
      </c>
      <c r="Q2520">
        <v>21</v>
      </c>
      <c r="R2520" t="s">
        <v>0</v>
      </c>
      <c r="S2520" t="s">
        <v>0</v>
      </c>
      <c r="T2520" t="s">
        <v>0</v>
      </c>
    </row>
    <row r="2521" spans="1:20" x14ac:dyDescent="0.25">
      <c r="A2521">
        <v>41800403</v>
      </c>
      <c r="B2521" t="s">
        <v>4</v>
      </c>
      <c r="C2521" t="s">
        <v>6</v>
      </c>
      <c r="D2521">
        <v>26</v>
      </c>
      <c r="E2521">
        <v>16</v>
      </c>
      <c r="F2521">
        <v>10</v>
      </c>
      <c r="G2521">
        <v>1</v>
      </c>
      <c r="H2521" s="1">
        <v>2.7777777777777779E-3</v>
      </c>
      <c r="I2521" t="s">
        <v>2</v>
      </c>
      <c r="J2521" t="s">
        <v>1</v>
      </c>
      <c r="K2521" s="2" t="str">
        <f>HYPERLINK("https://www.nba.com/stats/events?CFID=&amp;CFPARAMS=&amp;GameEventID=96&amp;GameID=0041800403&amp;Season=2018-19&amp;flag=1&amp;title=Gasol%204'%20Cutting%20Dunk%20Shot%20(8%20PTS)%20(Leonard%202%20AST)", "Gasol 4' Cutting Dunk Shot (8 PTS) (Leonard 2 AST)")</f>
        <v>Gasol 4' Cutting Dunk Shot (8 PTS) (Leonard 2 AST)</v>
      </c>
      <c r="L2521" s="2" t="str">
        <f>HYPERLINK("https://www.nba.com/game/...-vs-...-0041800403/play-by-play?watchFullGame=true", "TOR vs GSW - Q1 04:00.00")</f>
        <v>TOR vs GSW - Q1 04:00.00</v>
      </c>
      <c r="M2521">
        <v>4</v>
      </c>
      <c r="N2521">
        <v>6</v>
      </c>
      <c r="O2521">
        <v>38</v>
      </c>
      <c r="P2521">
        <v>6</v>
      </c>
      <c r="Q2521">
        <v>38</v>
      </c>
      <c r="R2521" t="s">
        <v>0</v>
      </c>
      <c r="S2521" t="s">
        <v>0</v>
      </c>
      <c r="T2521" t="s">
        <v>0</v>
      </c>
    </row>
    <row r="2522" spans="1:20" x14ac:dyDescent="0.25">
      <c r="A2522">
        <v>41800403</v>
      </c>
      <c r="B2522" t="s">
        <v>10</v>
      </c>
      <c r="C2522" t="s">
        <v>9</v>
      </c>
      <c r="D2522">
        <v>118</v>
      </c>
      <c r="E2522">
        <v>105</v>
      </c>
      <c r="F2522">
        <v>13</v>
      </c>
      <c r="G2522">
        <v>4</v>
      </c>
      <c r="H2522" s="1">
        <v>1.1458333333333333E-3</v>
      </c>
      <c r="I2522" t="s">
        <v>2</v>
      </c>
      <c r="J2522" t="s">
        <v>1</v>
      </c>
      <c r="K2522" s="2" t="str">
        <f>HYPERLINK("https://www.nba.com/stats/events?CFID=&amp;CFPARAMS=&amp;GameEventID=668&amp;GameID=0041800403&amp;Season=2018-19&amp;flag=1&amp;title=VanVleet%2028'%203PT%20Jump%20Shot%20(11%20PTS)%20(Leonard%206%20AST)", "VanVleet 28' 3PT Jump Shot (11 PTS) (Leonard 6 AST)")</f>
        <v>VanVleet 28' 3PT Jump Shot (11 PTS) (Leonard 6 AST)</v>
      </c>
      <c r="L2522" s="2" t="str">
        <f>HYPERLINK("https://www.nba.com/game/...-vs-...-0041800403/play-by-play?watchFullGame=true", "TOR vs GSW - Q4 01:39.00")</f>
        <v>TOR vs GSW - Q4 01:39.00</v>
      </c>
      <c r="M2522">
        <v>28</v>
      </c>
      <c r="N2522">
        <v>180</v>
      </c>
      <c r="O2522">
        <v>213</v>
      </c>
      <c r="P2522">
        <v>180</v>
      </c>
      <c r="Q2522">
        <v>213</v>
      </c>
      <c r="R2522" t="s">
        <v>0</v>
      </c>
      <c r="S2522" t="s">
        <v>0</v>
      </c>
      <c r="T2522" t="s">
        <v>0</v>
      </c>
    </row>
    <row r="2523" spans="1:20" x14ac:dyDescent="0.25">
      <c r="A2523">
        <v>41800404</v>
      </c>
      <c r="B2523" t="s">
        <v>4</v>
      </c>
      <c r="C2523" t="s">
        <v>9</v>
      </c>
      <c r="D2523">
        <v>50</v>
      </c>
      <c r="E2523">
        <v>49</v>
      </c>
      <c r="F2523">
        <v>1</v>
      </c>
      <c r="G2523">
        <v>3</v>
      </c>
      <c r="H2523" s="1">
        <v>7.3032407407407404E-3</v>
      </c>
      <c r="I2523" t="s">
        <v>2</v>
      </c>
      <c r="J2523" t="s">
        <v>1</v>
      </c>
      <c r="K2523" s="2" t="str">
        <f>HYPERLINK("https://www.nba.com/stats/events?CFID=&amp;CFPARAMS=&amp;GameEventID=334&amp;GameID=0041800404&amp;Season=2018-19&amp;flag=1&amp;title=Gasol%2012'%20Jump%20Shot%20(6%20PTS)%20(Leonard%201%20AST)", "Gasol 12' Jump Shot (6 PTS) (Leonard 1 AST)")</f>
        <v>Gasol 12' Jump Shot (6 PTS) (Leonard 1 AST)</v>
      </c>
      <c r="L2523" s="2" t="str">
        <f>HYPERLINK("https://www.nba.com/game/...-vs-...-0041800404/play-by-play?watchFullGame=true", "TOR vs GSW - Q3 10:31.00")</f>
        <v>TOR vs GSW - Q3 10:31.00</v>
      </c>
      <c r="M2523">
        <v>12</v>
      </c>
      <c r="N2523">
        <v>121</v>
      </c>
      <c r="O2523">
        <v>1</v>
      </c>
      <c r="P2523">
        <v>121</v>
      </c>
      <c r="Q2523">
        <v>1</v>
      </c>
      <c r="R2523" t="s">
        <v>0</v>
      </c>
      <c r="S2523" t="s">
        <v>0</v>
      </c>
      <c r="T2523" t="s">
        <v>0</v>
      </c>
    </row>
    <row r="2524" spans="1:20" x14ac:dyDescent="0.25">
      <c r="A2524">
        <v>41200314</v>
      </c>
      <c r="B2524" t="s">
        <v>4</v>
      </c>
      <c r="C2524" t="s">
        <v>5</v>
      </c>
      <c r="D2524">
        <v>65</v>
      </c>
      <c r="E2524">
        <v>54</v>
      </c>
      <c r="F2524">
        <v>11</v>
      </c>
      <c r="G2524">
        <v>3</v>
      </c>
      <c r="H2524" s="1">
        <v>3.1365740740740742E-3</v>
      </c>
      <c r="I2524" t="s">
        <v>27</v>
      </c>
      <c r="J2524" t="s">
        <v>7</v>
      </c>
      <c r="K2524" s="2" t="str">
        <f>HYPERLINK("https://www.nba.com/stats/events?CFID=&amp;CFPARAMS=&amp;GameEventID=316&amp;GameID=0041200314&amp;Season=2012-13&amp;flag=1&amp;title=Parker%202'%20Layup%20(26%20PTS)%20(Leonard%201%20AST)", "Parker 2' Layup (26 PTS) (Leonard 1 AST)")</f>
        <v>Parker 2' Layup (26 PTS) (Leonard 1 AST)</v>
      </c>
      <c r="L2524" s="2" t="str">
        <f>HYPERLINK("https://www.nba.com/game/...-vs-...-0041200314/play-by-play?watchFullGame=true", "SAS vs MEM - Q3 04:31.00")</f>
        <v>SAS vs MEM - Q3 04:31.00</v>
      </c>
      <c r="M2524">
        <v>2</v>
      </c>
      <c r="N2524">
        <v>-16</v>
      </c>
      <c r="O2524">
        <v>-5</v>
      </c>
      <c r="P2524">
        <v>-16</v>
      </c>
      <c r="Q2524">
        <v>-5</v>
      </c>
      <c r="R2524" t="s">
        <v>0</v>
      </c>
      <c r="S2524" t="s">
        <v>0</v>
      </c>
      <c r="T2524" t="s">
        <v>0</v>
      </c>
    </row>
    <row r="2525" spans="1:20" x14ac:dyDescent="0.25">
      <c r="A2525">
        <v>41300221</v>
      </c>
      <c r="B2525" t="s">
        <v>4</v>
      </c>
      <c r="C2525" t="s">
        <v>5</v>
      </c>
      <c r="D2525">
        <v>75</v>
      </c>
      <c r="E2525">
        <v>46</v>
      </c>
      <c r="F2525">
        <v>29</v>
      </c>
      <c r="G2525">
        <v>3</v>
      </c>
      <c r="H2525" s="1">
        <v>5.0347222222222225E-3</v>
      </c>
      <c r="I2525" t="s">
        <v>15</v>
      </c>
      <c r="J2525" t="s">
        <v>7</v>
      </c>
      <c r="K2525" s="2" t="str">
        <f>HYPERLINK("https://www.nba.com/stats/events?CFID=&amp;CFPARAMS=&amp;GameEventID=301&amp;GameID=0041300221&amp;Season=2013-14&amp;flag=1&amp;title=Parker%202'%20Layup%20(23%20PTS)%20(Leonard%201%20AST)", "Parker 2' Layup (23 PTS) (Leonard 1 AST)")</f>
        <v>Parker 2' Layup (23 PTS) (Leonard 1 AST)</v>
      </c>
      <c r="L2525" s="2" t="str">
        <f>HYPERLINK("https://www.nba.com/game/...-vs-...-0041300221/play-by-play?watchFullGame=true", "SAS vs POR - Q3 07:15.00")</f>
        <v>SAS vs POR - Q3 07:15.00</v>
      </c>
      <c r="M2525">
        <v>2</v>
      </c>
      <c r="N2525">
        <v>18</v>
      </c>
      <c r="O2525">
        <v>15</v>
      </c>
      <c r="P2525">
        <v>18</v>
      </c>
      <c r="Q2525">
        <v>15</v>
      </c>
      <c r="R2525" t="s">
        <v>0</v>
      </c>
      <c r="S2525" t="s">
        <v>0</v>
      </c>
      <c r="T2525" t="s">
        <v>0</v>
      </c>
    </row>
    <row r="2526" spans="1:20" x14ac:dyDescent="0.25">
      <c r="A2526">
        <v>41300314</v>
      </c>
      <c r="B2526" t="s">
        <v>10</v>
      </c>
      <c r="C2526" t="s">
        <v>9</v>
      </c>
      <c r="D2526">
        <v>46</v>
      </c>
      <c r="E2526">
        <v>60</v>
      </c>
      <c r="F2526">
        <v>14</v>
      </c>
      <c r="G2526">
        <v>3</v>
      </c>
      <c r="H2526" s="1">
        <v>6.5162037037037037E-3</v>
      </c>
      <c r="I2526" t="s">
        <v>15</v>
      </c>
      <c r="J2526" t="s">
        <v>7</v>
      </c>
      <c r="K2526" s="2" t="str">
        <f>HYPERLINK("https://www.nba.com/stats/events?CFID=&amp;CFPARAMS=&amp;GameEventID=260&amp;GameID=0041300314&amp;Season=2013-14&amp;flag=1&amp;title=Green%20%203PT%20Jump%20Shot%20(3%20PTS)%20(Leonard%201%20AST)", "Green  3PT Jump Shot (3 PTS) (Leonard 1 AST)")</f>
        <v>Green  3PT Jump Shot (3 PTS) (Leonard 1 AST)</v>
      </c>
      <c r="L2526" s="2" t="str">
        <f>HYPERLINK("https://www.nba.com/game/...-vs-...-0041300314/play-by-play?watchFullGame=true", "SAS vs OKC - Q3 09:23.00")</f>
        <v>SAS vs OKC - Q3 09:23.00</v>
      </c>
      <c r="M2526">
        <v>0</v>
      </c>
      <c r="N2526">
        <v>-226</v>
      </c>
      <c r="O2526">
        <v>7</v>
      </c>
      <c r="P2526">
        <v>-226</v>
      </c>
      <c r="Q2526">
        <v>7</v>
      </c>
      <c r="R2526" t="s">
        <v>0</v>
      </c>
      <c r="S2526" t="s">
        <v>0</v>
      </c>
      <c r="T2526" t="s">
        <v>0</v>
      </c>
    </row>
    <row r="2527" spans="1:20" x14ac:dyDescent="0.25">
      <c r="A2527">
        <v>41400174</v>
      </c>
      <c r="B2527" t="s">
        <v>10</v>
      </c>
      <c r="C2527" t="s">
        <v>9</v>
      </c>
      <c r="D2527">
        <v>15</v>
      </c>
      <c r="E2527">
        <v>14</v>
      </c>
      <c r="F2527">
        <v>1</v>
      </c>
      <c r="G2527">
        <v>1</v>
      </c>
      <c r="H2527" s="1">
        <v>2.2453703703703702E-3</v>
      </c>
      <c r="I2527" t="s">
        <v>13</v>
      </c>
      <c r="J2527" t="s">
        <v>12</v>
      </c>
      <c r="K2527" s="2" t="str">
        <f>HYPERLINK("https://www.nba.com/stats/events?CFID=&amp;CFPARAMS=&amp;GameEventID=69&amp;GameID=0041400174&amp;Season=2014-15&amp;flag=1&amp;title=McCollum%2025'%203PT%20Jump%20Shot%20(3%20PTS)%20(Leonard%201%20AST)", "McCollum 25' 3PT Jump Shot (3 PTS) (Leonard 1 AST)")</f>
        <v>McCollum 25' 3PT Jump Shot (3 PTS) (Leonard 1 AST)</v>
      </c>
      <c r="L2527" s="2" t="str">
        <f>HYPERLINK("https://www.nba.com/game/...-vs-...-0041400174/play-by-play?watchFullGame=true", "POR vs MEM - Q1 03:14.00")</f>
        <v>POR vs MEM - Q1 03:14.00</v>
      </c>
      <c r="M2527">
        <v>25</v>
      </c>
      <c r="N2527">
        <v>118</v>
      </c>
      <c r="O2527">
        <v>217</v>
      </c>
      <c r="P2527">
        <v>118</v>
      </c>
      <c r="Q2527">
        <v>217</v>
      </c>
      <c r="R2527" t="s">
        <v>0</v>
      </c>
      <c r="S2527" t="s">
        <v>0</v>
      </c>
      <c r="T2527" t="s">
        <v>0</v>
      </c>
    </row>
    <row r="2528" spans="1:20" x14ac:dyDescent="0.25">
      <c r="A2528">
        <v>41500231</v>
      </c>
      <c r="B2528" t="s">
        <v>10</v>
      </c>
      <c r="C2528" t="s">
        <v>9</v>
      </c>
      <c r="D2528">
        <v>53</v>
      </c>
      <c r="E2528">
        <v>24</v>
      </c>
      <c r="F2528">
        <v>29</v>
      </c>
      <c r="G2528">
        <v>2</v>
      </c>
      <c r="H2528" s="1">
        <v>6.4120370370370373E-3</v>
      </c>
      <c r="I2528" t="s">
        <v>11</v>
      </c>
      <c r="J2528" t="s">
        <v>7</v>
      </c>
      <c r="K2528" s="2" t="str">
        <f>HYPERLINK("https://www.nba.com/stats/events?CFID=&amp;CFPARAMS=&amp;GameEventID=155&amp;GameID=0041500231&amp;Season=2015-16&amp;flag=1&amp;title=Green%2024'%203PT%20Jump%20Shot%20(13%20PTS)%20(Leonard%202%20AST)", "Green 24' 3PT Jump Shot (13 PTS) (Leonard 2 AST)")</f>
        <v>Green 24' 3PT Jump Shot (13 PTS) (Leonard 2 AST)</v>
      </c>
      <c r="L2528" s="2" t="str">
        <f>HYPERLINK("https://www.nba.com/game/...-vs-...-0041500231/play-by-play?watchFullGame=true", "SAS vs OKC - Q2 09:14.00")</f>
        <v>SAS vs OKC - Q2 09:14.00</v>
      </c>
      <c r="M2528">
        <v>24</v>
      </c>
      <c r="N2528">
        <v>230</v>
      </c>
      <c r="O2528">
        <v>56</v>
      </c>
      <c r="P2528">
        <v>230</v>
      </c>
      <c r="Q2528">
        <v>56</v>
      </c>
      <c r="R2528" t="s">
        <v>0</v>
      </c>
      <c r="S2528" t="s">
        <v>0</v>
      </c>
      <c r="T2528" t="s">
        <v>0</v>
      </c>
    </row>
    <row r="2529" spans="1:20" x14ac:dyDescent="0.25">
      <c r="A2529">
        <v>41500232</v>
      </c>
      <c r="B2529" t="s">
        <v>10</v>
      </c>
      <c r="C2529" t="s">
        <v>19</v>
      </c>
      <c r="D2529">
        <v>79</v>
      </c>
      <c r="E2529">
        <v>85</v>
      </c>
      <c r="F2529">
        <v>6</v>
      </c>
      <c r="G2529">
        <v>4</v>
      </c>
      <c r="H2529" s="1">
        <v>4.9652777777777777E-3</v>
      </c>
      <c r="I2529" t="s">
        <v>11</v>
      </c>
      <c r="J2529" t="s">
        <v>7</v>
      </c>
      <c r="K2529" s="2" t="str">
        <f>HYPERLINK("https://www.nba.com/stats/events?CFID=&amp;CFPARAMS=&amp;GameEventID=420&amp;GameID=0041500232&amp;Season=2015-16&amp;flag=1&amp;title=Green%2027'%203PT%20Pullup%20Jump%20Shot%20(6%20PTS)%20(Leonard%203%20AST)", "Green 27' 3PT Pullup Jump Shot (6 PTS) (Leonard 3 AST)")</f>
        <v>Green 27' 3PT Pullup Jump Shot (6 PTS) (Leonard 3 AST)</v>
      </c>
      <c r="L2529" s="2" t="str">
        <f>HYPERLINK("https://www.nba.com/game/...-vs-...-0041500232/play-by-play?watchFullGame=true", "SAS vs OKC - Q4 07:09.00")</f>
        <v>SAS vs OKC - Q4 07:09.00</v>
      </c>
      <c r="M2529">
        <v>27</v>
      </c>
      <c r="N2529">
        <v>176</v>
      </c>
      <c r="O2529">
        <v>203</v>
      </c>
      <c r="P2529">
        <v>176</v>
      </c>
      <c r="Q2529">
        <v>203</v>
      </c>
      <c r="R2529" t="s">
        <v>0</v>
      </c>
      <c r="S2529" t="s">
        <v>0</v>
      </c>
      <c r="T2529" t="s">
        <v>0</v>
      </c>
    </row>
    <row r="2530" spans="1:20" x14ac:dyDescent="0.25">
      <c r="A2530">
        <v>41500235</v>
      </c>
      <c r="B2530" t="s">
        <v>10</v>
      </c>
      <c r="C2530" t="s">
        <v>9</v>
      </c>
      <c r="D2530">
        <v>7</v>
      </c>
      <c r="E2530">
        <v>9</v>
      </c>
      <c r="F2530">
        <v>2</v>
      </c>
      <c r="G2530">
        <v>1</v>
      </c>
      <c r="H2530" s="1">
        <v>4.5833333333333334E-3</v>
      </c>
      <c r="I2530" t="s">
        <v>11</v>
      </c>
      <c r="J2530" t="s">
        <v>7</v>
      </c>
      <c r="K2530" s="2" t="str">
        <f>HYPERLINK("https://www.nba.com/stats/events?CFID=&amp;CFPARAMS=&amp;GameEventID=56&amp;GameID=0041500235&amp;Season=2015-16&amp;flag=1&amp;title=Green%2025'%203PT%20Jump%20Shot%20(3%20PTS)%20(Leonard%201%20AST)", "Green 25' 3PT Jump Shot (3 PTS) (Leonard 1 AST)")</f>
        <v>Green 25' 3PT Jump Shot (3 PTS) (Leonard 1 AST)</v>
      </c>
      <c r="L2530" s="2" t="str">
        <f>HYPERLINK("https://www.nba.com/game/...-vs-...-0041500235/play-by-play?watchFullGame=true", "SAS vs OKC - Q1 06:36.00")</f>
        <v>SAS vs OKC - Q1 06:36.00</v>
      </c>
      <c r="M2530">
        <v>25</v>
      </c>
      <c r="N2530">
        <v>-187</v>
      </c>
      <c r="O2530">
        <v>164</v>
      </c>
      <c r="P2530">
        <v>-187</v>
      </c>
      <c r="Q2530">
        <v>164</v>
      </c>
      <c r="R2530" t="s">
        <v>0</v>
      </c>
      <c r="S2530" t="s">
        <v>0</v>
      </c>
      <c r="T2530" t="s">
        <v>0</v>
      </c>
    </row>
    <row r="2531" spans="1:20" x14ac:dyDescent="0.25">
      <c r="A2531">
        <v>41600154</v>
      </c>
      <c r="B2531" t="s">
        <v>4</v>
      </c>
      <c r="C2531" t="s">
        <v>17</v>
      </c>
      <c r="D2531">
        <v>70</v>
      </c>
      <c r="E2531">
        <v>71</v>
      </c>
      <c r="F2531">
        <v>1</v>
      </c>
      <c r="G2531">
        <v>3</v>
      </c>
      <c r="H2531" s="1">
        <v>4.7800925925925924E-4</v>
      </c>
      <c r="I2531" t="s">
        <v>8</v>
      </c>
      <c r="J2531" t="s">
        <v>7</v>
      </c>
      <c r="K2531" s="2" t="str">
        <f>HYPERLINK("https://www.nba.com/stats/events?CFID=&amp;CFPARAMS=&amp;GameEventID=357&amp;GameID=0041600154&amp;Season=2016-17&amp;flag=1&amp;title=Mills%205'%20Floating%20Jump%20Shot%20(5%20PTS)%20(Leonard%202%20AST)", "Mills 5' Floating Jump Shot (5 PTS) (Leonard 2 AST)")</f>
        <v>Mills 5' Floating Jump Shot (5 PTS) (Leonard 2 AST)</v>
      </c>
      <c r="L2531" s="2" t="str">
        <f>HYPERLINK("https://www.nba.com/game/...-vs-...-0041600154/play-by-play?watchFullGame=true", "SAS vs MEM - Q3 00:41.30")</f>
        <v>SAS vs MEM - Q3 00:41.30</v>
      </c>
      <c r="M2531">
        <v>5</v>
      </c>
      <c r="N2531">
        <v>-14</v>
      </c>
      <c r="O2531">
        <v>43</v>
      </c>
      <c r="P2531">
        <v>-14</v>
      </c>
      <c r="Q2531">
        <v>43</v>
      </c>
      <c r="R2531" t="s">
        <v>0</v>
      </c>
      <c r="S2531" t="s">
        <v>0</v>
      </c>
      <c r="T2531" t="s">
        <v>0</v>
      </c>
    </row>
    <row r="2532" spans="1:20" x14ac:dyDescent="0.25">
      <c r="A2532">
        <v>41600155</v>
      </c>
      <c r="B2532" t="s">
        <v>10</v>
      </c>
      <c r="C2532" t="s">
        <v>9</v>
      </c>
      <c r="D2532">
        <v>38</v>
      </c>
      <c r="E2532">
        <v>35</v>
      </c>
      <c r="F2532">
        <v>3</v>
      </c>
      <c r="G2532">
        <v>2</v>
      </c>
      <c r="H2532" s="1">
        <v>4.5370370370370373E-3</v>
      </c>
      <c r="I2532" t="s">
        <v>8</v>
      </c>
      <c r="J2532" t="s">
        <v>7</v>
      </c>
      <c r="K2532" s="2" t="str">
        <f>HYPERLINK("https://www.nba.com/stats/events?CFID=&amp;CFPARAMS=&amp;GameEventID=173&amp;GameID=0041600155&amp;Season=2016-17&amp;flag=1&amp;title=Parker%2025'%203PT%20Jump%20Shot%20(10%20PTS)%20(Leonard%203%20AST)", "Parker 25' 3PT Jump Shot (10 PTS) (Leonard 3 AST)")</f>
        <v>Parker 25' 3PT Jump Shot (10 PTS) (Leonard 3 AST)</v>
      </c>
      <c r="L2532" s="2" t="str">
        <f>HYPERLINK("https://www.nba.com/game/...-vs-...-0041600155/play-by-play?watchFullGame=true", "SAS vs MEM - Q2 06:32.00")</f>
        <v>SAS vs MEM - Q2 06:32.00</v>
      </c>
      <c r="M2532">
        <v>25</v>
      </c>
      <c r="N2532">
        <v>128</v>
      </c>
      <c r="O2532">
        <v>214</v>
      </c>
      <c r="P2532">
        <v>128</v>
      </c>
      <c r="Q2532">
        <v>214</v>
      </c>
      <c r="R2532" t="s">
        <v>0</v>
      </c>
      <c r="S2532" t="s">
        <v>0</v>
      </c>
      <c r="T2532" t="s">
        <v>0</v>
      </c>
    </row>
    <row r="2533" spans="1:20" x14ac:dyDescent="0.25">
      <c r="A2533">
        <v>41800111</v>
      </c>
      <c r="B2533" t="s">
        <v>10</v>
      </c>
      <c r="C2533" t="s">
        <v>9</v>
      </c>
      <c r="D2533">
        <v>46</v>
      </c>
      <c r="E2533">
        <v>57</v>
      </c>
      <c r="F2533">
        <v>11</v>
      </c>
      <c r="G2533">
        <v>2</v>
      </c>
      <c r="H2533" s="1">
        <v>3.5416666666666669E-4</v>
      </c>
      <c r="I2533" t="s">
        <v>2</v>
      </c>
      <c r="J2533" t="s">
        <v>1</v>
      </c>
      <c r="K2533" s="2" t="str">
        <f>HYPERLINK("https://www.nba.com/stats/events?CFID=&amp;CFPARAMS=&amp;GameEventID=296&amp;GameID=0041800111&amp;Season=2018-19&amp;flag=1&amp;title=Gasol%2026'%203PT%20Jump%20Shot%20(7%20PTS)%20(Leonard%202%20AST)", "Gasol 26' 3PT Jump Shot (7 PTS) (Leonard 2 AST)")</f>
        <v>Gasol 26' 3PT Jump Shot (7 PTS) (Leonard 2 AST)</v>
      </c>
      <c r="L2533" s="2" t="str">
        <f>HYPERLINK("https://www.nba.com/game/...-vs-...-0041800111/play-by-play?watchFullGame=true", "TOR vs ORL - Q2 00:30.60")</f>
        <v>TOR vs ORL - Q2 00:30.60</v>
      </c>
      <c r="M2533">
        <v>26</v>
      </c>
      <c r="N2533">
        <v>-16</v>
      </c>
      <c r="O2533">
        <v>259</v>
      </c>
      <c r="P2533">
        <v>-16</v>
      </c>
      <c r="Q2533">
        <v>259</v>
      </c>
      <c r="R2533" t="s">
        <v>0</v>
      </c>
      <c r="S2533" t="s">
        <v>0</v>
      </c>
      <c r="T2533" t="s">
        <v>0</v>
      </c>
    </row>
    <row r="2534" spans="1:20" x14ac:dyDescent="0.25">
      <c r="A2534">
        <v>41800114</v>
      </c>
      <c r="B2534" t="s">
        <v>10</v>
      </c>
      <c r="C2534" t="s">
        <v>9</v>
      </c>
      <c r="D2534">
        <v>41</v>
      </c>
      <c r="E2534">
        <v>35</v>
      </c>
      <c r="F2534">
        <v>6</v>
      </c>
      <c r="G2534">
        <v>2</v>
      </c>
      <c r="H2534" s="1">
        <v>4.9421296296296297E-3</v>
      </c>
      <c r="I2534" t="s">
        <v>2</v>
      </c>
      <c r="J2534" t="s">
        <v>1</v>
      </c>
      <c r="K2534" s="2" t="str">
        <f>HYPERLINK("https://www.nba.com/stats/events?CFID=&amp;CFPARAMS=&amp;GameEventID=206&amp;GameID=0041800114&amp;Season=2018-19&amp;flag=1&amp;title=Powell%2025'%203PT%20Jump%20Shot%20(5%20PTS)%20(Leonard%201%20AST)", "Powell 25' 3PT Jump Shot (5 PTS) (Leonard 1 AST)")</f>
        <v>Powell 25' 3PT Jump Shot (5 PTS) (Leonard 1 AST)</v>
      </c>
      <c r="L2534" s="2" t="str">
        <f>HYPERLINK("https://www.nba.com/game/...-vs-...-0041800114/play-by-play?watchFullGame=true", "TOR vs ORL - Q2 07:07.00")</f>
        <v>TOR vs ORL - Q2 07:07.00</v>
      </c>
      <c r="M2534">
        <v>25</v>
      </c>
      <c r="N2534">
        <v>200</v>
      </c>
      <c r="O2534">
        <v>155</v>
      </c>
      <c r="P2534">
        <v>200</v>
      </c>
      <c r="Q2534">
        <v>155</v>
      </c>
      <c r="R2534" t="s">
        <v>0</v>
      </c>
      <c r="S2534" t="s">
        <v>0</v>
      </c>
      <c r="T2534" t="s">
        <v>0</v>
      </c>
    </row>
    <row r="2535" spans="1:20" x14ac:dyDescent="0.25">
      <c r="A2535">
        <v>41800115</v>
      </c>
      <c r="B2535" t="s">
        <v>10</v>
      </c>
      <c r="C2535" t="s">
        <v>9</v>
      </c>
      <c r="D2535">
        <v>58</v>
      </c>
      <c r="E2535">
        <v>39</v>
      </c>
      <c r="F2535">
        <v>19</v>
      </c>
      <c r="G2535">
        <v>2</v>
      </c>
      <c r="H2535" s="1">
        <v>2.8124999999999999E-3</v>
      </c>
      <c r="I2535" t="s">
        <v>2</v>
      </c>
      <c r="J2535" t="s">
        <v>1</v>
      </c>
      <c r="K2535" s="2" t="str">
        <f>HYPERLINK("https://www.nba.com/stats/events?CFID=&amp;CFPARAMS=&amp;GameEventID=270&amp;GameID=0041800115&amp;Season=2018-19&amp;flag=1&amp;title=Siakam%203PT%20Jump%20Shot%20(8%20PTS)%20(Leonard%202%20AST)", "Siakam 3PT Jump Shot (8 PTS) (Leonard 2 AST)")</f>
        <v>Siakam 3PT Jump Shot (8 PTS) (Leonard 2 AST)</v>
      </c>
      <c r="L2535" s="2" t="str">
        <f>HYPERLINK("https://www.nba.com/game/...-vs-...-0041800115/play-by-play?watchFullGame=true", "TOR vs ORL - Q2 04:03.00")</f>
        <v>TOR vs ORL - Q2 04:03.00</v>
      </c>
      <c r="M2535">
        <v>0</v>
      </c>
      <c r="N2535">
        <v>-231</v>
      </c>
      <c r="O2535">
        <v>-4</v>
      </c>
      <c r="P2535">
        <v>-231</v>
      </c>
      <c r="Q2535">
        <v>-4</v>
      </c>
      <c r="R2535" t="s">
        <v>0</v>
      </c>
      <c r="S2535" t="s">
        <v>0</v>
      </c>
      <c r="T2535" t="s">
        <v>0</v>
      </c>
    </row>
    <row r="2536" spans="1:20" x14ac:dyDescent="0.25">
      <c r="A2536">
        <v>41800217</v>
      </c>
      <c r="B2536" t="s">
        <v>4</v>
      </c>
      <c r="C2536" t="s">
        <v>30</v>
      </c>
      <c r="D2536">
        <v>77</v>
      </c>
      <c r="E2536">
        <v>76</v>
      </c>
      <c r="F2536">
        <v>1</v>
      </c>
      <c r="G2536">
        <v>4</v>
      </c>
      <c r="H2536" s="1">
        <v>4.9884259259259257E-3</v>
      </c>
      <c r="I2536" t="s">
        <v>2</v>
      </c>
      <c r="J2536" t="s">
        <v>1</v>
      </c>
      <c r="K2536" s="2" t="str">
        <f>HYPERLINK("https://www.nba.com/stats/events?CFID=&amp;CFPARAMS=&amp;GameEventID=510&amp;GameID=0041800217&amp;Season=2018-19&amp;flag=1&amp;title=Lowry%2017'%20Turnaround%20Fadeaway%20(10%20PTS)%20(Leonard%203%20AST)", "Lowry 17' Turnaround Fadeaway (10 PTS) (Leonard 3 AST)")</f>
        <v>Lowry 17' Turnaround Fadeaway (10 PTS) (Leonard 3 AST)</v>
      </c>
      <c r="L2536" s="2" t="str">
        <f>HYPERLINK("https://www.nba.com/game/...-vs-...-0041800217/play-by-play?watchFullGame=true", "TOR vs PHI - Q4 07:11.00")</f>
        <v>TOR vs PHI - Q4 07:11.00</v>
      </c>
      <c r="M2536">
        <v>17</v>
      </c>
      <c r="N2536">
        <v>-138</v>
      </c>
      <c r="O2536">
        <v>101</v>
      </c>
      <c r="P2536">
        <v>-138</v>
      </c>
      <c r="Q2536">
        <v>101</v>
      </c>
      <c r="R2536" t="s">
        <v>0</v>
      </c>
      <c r="S2536" t="s">
        <v>0</v>
      </c>
      <c r="T2536" t="s">
        <v>0</v>
      </c>
    </row>
    <row r="2537" spans="1:20" x14ac:dyDescent="0.25">
      <c r="A2537">
        <v>41800305</v>
      </c>
      <c r="B2537" t="s">
        <v>10</v>
      </c>
      <c r="C2537" t="s">
        <v>9</v>
      </c>
      <c r="D2537">
        <v>15</v>
      </c>
      <c r="E2537">
        <v>22</v>
      </c>
      <c r="F2537">
        <v>7</v>
      </c>
      <c r="G2537">
        <v>1</v>
      </c>
      <c r="H2537" s="1">
        <v>2.9513888888888888E-3</v>
      </c>
      <c r="I2537" t="s">
        <v>2</v>
      </c>
      <c r="J2537" t="s">
        <v>1</v>
      </c>
      <c r="K2537" s="2" t="str">
        <f>HYPERLINK("https://www.nba.com/stats/events?CFID=&amp;CFPARAMS=&amp;GameEventID=114&amp;GameID=0041800305&amp;Season=2018-19&amp;flag=1&amp;title=Powell%2028'%203PT%20Jump%20Shot%20(4%20PTS)%20(Leonard%201%20AST)", "Powell 28' 3PT Jump Shot (4 PTS) (Leonard 1 AST)")</f>
        <v>Powell 28' 3PT Jump Shot (4 PTS) (Leonard 1 AST)</v>
      </c>
      <c r="L2537" s="2" t="str">
        <f>HYPERLINK("https://www.nba.com/game/...-vs-...-0041800305/play-by-play?watchFullGame=true", "TOR vs MIL - Q1 04:15.00")</f>
        <v>TOR vs MIL - Q1 04:15.00</v>
      </c>
      <c r="M2537">
        <v>28</v>
      </c>
      <c r="N2537">
        <v>121</v>
      </c>
      <c r="O2537">
        <v>253</v>
      </c>
      <c r="P2537">
        <v>121</v>
      </c>
      <c r="Q2537">
        <v>253</v>
      </c>
      <c r="R2537" t="s">
        <v>0</v>
      </c>
      <c r="S2537" t="s">
        <v>0</v>
      </c>
      <c r="T2537" t="s">
        <v>0</v>
      </c>
    </row>
    <row r="2538" spans="1:20" x14ac:dyDescent="0.25">
      <c r="A2538">
        <v>41800313</v>
      </c>
      <c r="B2538" t="s">
        <v>10</v>
      </c>
      <c r="C2538" t="s">
        <v>9</v>
      </c>
      <c r="D2538">
        <v>3</v>
      </c>
      <c r="E2538">
        <v>0</v>
      </c>
      <c r="F2538">
        <v>3</v>
      </c>
      <c r="G2538">
        <v>1</v>
      </c>
      <c r="H2538" s="1">
        <v>7.789351851851852E-3</v>
      </c>
      <c r="I2538" t="s">
        <v>2</v>
      </c>
      <c r="J2538" t="s">
        <v>12</v>
      </c>
      <c r="K2538" s="2" t="str">
        <f>HYPERLINK("https://www.nba.com/stats/events?CFID=&amp;CFPARAMS=&amp;GameEventID=15&amp;GameID=0041800313&amp;Season=2018-19&amp;flag=1&amp;title=Lillard%2027'%203PT%20Jump%20Shot%20(3%20PTS)%20(Leonard%201%20AST)", "Lillard 27' 3PT Jump Shot (3 PTS) (Leonard 1 AST)")</f>
        <v>Lillard 27' 3PT Jump Shot (3 PTS) (Leonard 1 AST)</v>
      </c>
      <c r="L2538" s="2" t="str">
        <f>HYPERLINK("https://www.nba.com/game/...-vs-...-0041800313/play-by-play?watchFullGame=true", "POR vs GSW - Q1 11:13.00")</f>
        <v>POR vs GSW - Q1 11:13.00</v>
      </c>
      <c r="M2538">
        <v>27</v>
      </c>
      <c r="N2538">
        <v>-177</v>
      </c>
      <c r="O2538">
        <v>200</v>
      </c>
      <c r="P2538">
        <v>-177</v>
      </c>
      <c r="Q2538">
        <v>200</v>
      </c>
      <c r="R2538" t="s">
        <v>0</v>
      </c>
      <c r="S2538" t="s">
        <v>0</v>
      </c>
      <c r="T2538" t="s">
        <v>0</v>
      </c>
    </row>
    <row r="2539" spans="1:20" x14ac:dyDescent="0.25">
      <c r="A2539">
        <v>41800401</v>
      </c>
      <c r="B2539" t="s">
        <v>4</v>
      </c>
      <c r="C2539" t="s">
        <v>9</v>
      </c>
      <c r="D2539">
        <v>108</v>
      </c>
      <c r="E2539">
        <v>96</v>
      </c>
      <c r="F2539">
        <v>12</v>
      </c>
      <c r="G2539">
        <v>4</v>
      </c>
      <c r="H2539" s="1">
        <v>2.7083333333333334E-3</v>
      </c>
      <c r="I2539" t="s">
        <v>2</v>
      </c>
      <c r="J2539" t="s">
        <v>1</v>
      </c>
      <c r="K2539" s="2" t="str">
        <f>HYPERLINK("https://www.nba.com/stats/events?CFID=&amp;CFPARAMS=&amp;GameEventID=624&amp;GameID=0041800401&amp;Season=2018-19&amp;flag=1&amp;title=Gasol%2017'%20Jump%20Shot%20(20%20PTS)%20(Leonard%204%20AST)", "Gasol 17' Jump Shot (20 PTS) (Leonard 4 AST)")</f>
        <v>Gasol 17' Jump Shot (20 PTS) (Leonard 4 AST)</v>
      </c>
      <c r="L2539" s="2" t="str">
        <f>HYPERLINK("https://www.nba.com/game/...-vs-...-0041800401/play-by-play?watchFullGame=true", "TOR vs GSW - Q4 03:54.00")</f>
        <v>TOR vs GSW - Q4 03:54.00</v>
      </c>
      <c r="M2539">
        <v>17</v>
      </c>
      <c r="N2539">
        <v>0</v>
      </c>
      <c r="O2539">
        <v>167</v>
      </c>
      <c r="P2539">
        <v>0</v>
      </c>
      <c r="Q2539">
        <v>167</v>
      </c>
      <c r="R2539" t="s">
        <v>0</v>
      </c>
      <c r="S2539" t="s">
        <v>0</v>
      </c>
      <c r="T2539" t="s">
        <v>0</v>
      </c>
    </row>
    <row r="2540" spans="1:20" x14ac:dyDescent="0.25">
      <c r="A2540">
        <v>41800401</v>
      </c>
      <c r="B2540" t="s">
        <v>4</v>
      </c>
      <c r="C2540" t="s">
        <v>25</v>
      </c>
      <c r="D2540">
        <v>73</v>
      </c>
      <c r="E2540">
        <v>63</v>
      </c>
      <c r="F2540">
        <v>10</v>
      </c>
      <c r="G2540">
        <v>3</v>
      </c>
      <c r="H2540" s="1">
        <v>4.8032407407407407E-3</v>
      </c>
      <c r="I2540" t="s">
        <v>2</v>
      </c>
      <c r="J2540" t="s">
        <v>1</v>
      </c>
      <c r="K2540" s="2" t="str">
        <f>HYPERLINK("https://www.nba.com/stats/events?CFID=&amp;CFPARAMS=&amp;GameEventID=408&amp;GameID=0041800401&amp;Season=2018-19&amp;flag=1&amp;title=Siakam%20Running%20Finger%20Roll%20Layup%20(22%20PTS)%20(Leonard%201%20AST)", "Siakam Running Finger Roll Layup (22 PTS) (Leonard 1 AST)")</f>
        <v>Siakam Running Finger Roll Layup (22 PTS) (Leonard 1 AST)</v>
      </c>
      <c r="L2540" s="2" t="str">
        <f>HYPERLINK("https://www.nba.com/game/...-vs-...-0041800401/play-by-play?watchFullGame=true", "TOR vs GSW - Q3 06:55.00")</f>
        <v>TOR vs GSW - Q3 06:55.00</v>
      </c>
      <c r="M2540">
        <v>0</v>
      </c>
      <c r="N2540">
        <v>-2</v>
      </c>
      <c r="O2540">
        <v>4</v>
      </c>
      <c r="P2540">
        <v>-2</v>
      </c>
      <c r="Q2540">
        <v>4</v>
      </c>
      <c r="R2540" t="s">
        <v>0</v>
      </c>
      <c r="S2540" t="s">
        <v>0</v>
      </c>
      <c r="T2540" t="s">
        <v>0</v>
      </c>
    </row>
    <row r="2541" spans="1:20" x14ac:dyDescent="0.25">
      <c r="A2541">
        <v>41800403</v>
      </c>
      <c r="B2541" t="s">
        <v>10</v>
      </c>
      <c r="C2541" t="s">
        <v>9</v>
      </c>
      <c r="D2541">
        <v>24</v>
      </c>
      <c r="E2541">
        <v>14</v>
      </c>
      <c r="F2541">
        <v>10</v>
      </c>
      <c r="G2541">
        <v>1</v>
      </c>
      <c r="H2541" s="1">
        <v>3.2754629629629631E-3</v>
      </c>
      <c r="I2541" t="s">
        <v>2</v>
      </c>
      <c r="J2541" t="s">
        <v>1</v>
      </c>
      <c r="K2541" s="2" t="str">
        <f>HYPERLINK("https://www.nba.com/stats/events?CFID=&amp;CFPARAMS=&amp;GameEventID=84&amp;GameID=0041800403&amp;Season=2018-19&amp;flag=1&amp;title=Green%203PT%20Jump%20Shot%20(6%20PTS)%20(Leonard%201%20AST)", "Green 3PT Jump Shot (6 PTS) (Leonard 1 AST)")</f>
        <v>Green 3PT Jump Shot (6 PTS) (Leonard 1 AST)</v>
      </c>
      <c r="L2541" s="2" t="str">
        <f>HYPERLINK("https://www.nba.com/game/...-vs-...-0041800403/play-by-play?watchFullGame=true", "TOR vs GSW - Q1 04:43.00")</f>
        <v>TOR vs GSW - Q1 04:43.00</v>
      </c>
      <c r="M2541">
        <v>0</v>
      </c>
      <c r="N2541">
        <v>227</v>
      </c>
      <c r="O2541">
        <v>33</v>
      </c>
      <c r="P2541">
        <v>227</v>
      </c>
      <c r="Q2541">
        <v>33</v>
      </c>
      <c r="R2541" t="s">
        <v>0</v>
      </c>
      <c r="S2541" t="s">
        <v>0</v>
      </c>
      <c r="T2541" t="s">
        <v>0</v>
      </c>
    </row>
    <row r="2542" spans="1:20" x14ac:dyDescent="0.25">
      <c r="A2542">
        <v>41200233</v>
      </c>
      <c r="B2542" t="s">
        <v>4</v>
      </c>
      <c r="C2542" t="s">
        <v>9</v>
      </c>
      <c r="D2542">
        <v>14</v>
      </c>
      <c r="E2542">
        <v>12</v>
      </c>
      <c r="F2542">
        <v>2</v>
      </c>
      <c r="G2542">
        <v>1</v>
      </c>
      <c r="H2542" s="1">
        <v>4.6643518518518518E-3</v>
      </c>
      <c r="I2542" t="s">
        <v>27</v>
      </c>
      <c r="J2542" t="s">
        <v>7</v>
      </c>
      <c r="K2542" s="2" t="str">
        <f>HYPERLINK("https://www.nba.com/stats/events?CFID=&amp;CFPARAMS=&amp;GameEventID=47&amp;GameID=0041200233&amp;Season=2012-13&amp;flag=1&amp;title=Duncan%2018'%20Jump%20Shot%20(4%20PTS)%20(Leonard%201%20AST)", "Duncan 18' Jump Shot (4 PTS) (Leonard 1 AST)")</f>
        <v>Duncan 18' Jump Shot (4 PTS) (Leonard 1 AST)</v>
      </c>
      <c r="L2542" s="2" t="str">
        <f>HYPERLINK("https://www.nba.com/game/...-vs-...-0041200233/play-by-play?watchFullGame=true", "SAS vs GSW - Q1 06:43.00")</f>
        <v>SAS vs GSW - Q1 06:43.00</v>
      </c>
      <c r="M2542">
        <v>18</v>
      </c>
      <c r="N2542">
        <v>-106</v>
      </c>
      <c r="O2542">
        <v>145</v>
      </c>
      <c r="P2542">
        <v>-106</v>
      </c>
      <c r="Q2542">
        <v>145</v>
      </c>
      <c r="R2542" t="s">
        <v>0</v>
      </c>
      <c r="S2542" t="s">
        <v>0</v>
      </c>
      <c r="T2542" t="s">
        <v>0</v>
      </c>
    </row>
    <row r="2543" spans="1:20" x14ac:dyDescent="0.25">
      <c r="A2543">
        <v>41300145</v>
      </c>
      <c r="B2543" t="s">
        <v>10</v>
      </c>
      <c r="C2543" t="s">
        <v>9</v>
      </c>
      <c r="D2543">
        <v>24</v>
      </c>
      <c r="E2543">
        <v>11</v>
      </c>
      <c r="F2543">
        <v>13</v>
      </c>
      <c r="G2543">
        <v>1</v>
      </c>
      <c r="H2543" s="1">
        <v>3.7731481481481483E-3</v>
      </c>
      <c r="I2543" t="s">
        <v>15</v>
      </c>
      <c r="J2543" t="s">
        <v>7</v>
      </c>
      <c r="K2543" s="2" t="str">
        <f>HYPERLINK("https://www.nba.com/stats/events?CFID=&amp;CFPARAMS=&amp;GameEventID=54&amp;GameID=0041300145&amp;Season=2013-14&amp;flag=1&amp;title=Ginobili%2025'%203PT%20Jump%20Shot%20(3%20PTS)%20(Leonard%201%20AST)", "Ginobili 25' 3PT Jump Shot (3 PTS) (Leonard 1 AST)")</f>
        <v>Ginobili 25' 3PT Jump Shot (3 PTS) (Leonard 1 AST)</v>
      </c>
      <c r="L2543" s="2" t="str">
        <f>HYPERLINK("https://www.nba.com/game/...-vs-...-0041300145/play-by-play?watchFullGame=true", "SAS vs DAL - Q1 05:26.00")</f>
        <v>SAS vs DAL - Q1 05:26.00</v>
      </c>
      <c r="M2543">
        <v>25</v>
      </c>
      <c r="N2543">
        <v>146</v>
      </c>
      <c r="O2543">
        <v>198</v>
      </c>
      <c r="P2543">
        <v>146</v>
      </c>
      <c r="Q2543">
        <v>198</v>
      </c>
      <c r="R2543" t="s">
        <v>0</v>
      </c>
      <c r="S2543" t="s">
        <v>0</v>
      </c>
      <c r="T2543" t="s">
        <v>0</v>
      </c>
    </row>
    <row r="2544" spans="1:20" x14ac:dyDescent="0.25">
      <c r="A2544">
        <v>41300225</v>
      </c>
      <c r="B2544" t="s">
        <v>4</v>
      </c>
      <c r="C2544" t="s">
        <v>5</v>
      </c>
      <c r="D2544">
        <v>61</v>
      </c>
      <c r="E2544">
        <v>46</v>
      </c>
      <c r="F2544">
        <v>15</v>
      </c>
      <c r="G2544">
        <v>3</v>
      </c>
      <c r="H2544" s="1">
        <v>6.4699074074074077E-3</v>
      </c>
      <c r="I2544" t="s">
        <v>15</v>
      </c>
      <c r="J2544" t="s">
        <v>7</v>
      </c>
      <c r="K2544" s="2" t="str">
        <f>HYPERLINK("https://www.nba.com/stats/events?CFID=&amp;CFPARAMS=&amp;GameEventID=266&amp;GameID=0041300225&amp;Season=2013-14&amp;flag=1&amp;title=Diaw%202'%20Layup%20(5%20PTS)%20(Leonard%201%20AST)", "Diaw 2' Layup (5 PTS) (Leonard 1 AST)")</f>
        <v>Diaw 2' Layup (5 PTS) (Leonard 1 AST)</v>
      </c>
      <c r="L2544" s="2" t="str">
        <f>HYPERLINK("https://www.nba.com/game/...-vs-...-0041300225/play-by-play?watchFullGame=true", "SAS vs POR - Q3 09:19.00")</f>
        <v>SAS vs POR - Q3 09:19.00</v>
      </c>
      <c r="M2544">
        <v>2</v>
      </c>
      <c r="N2544">
        <v>0</v>
      </c>
      <c r="O2544">
        <v>15</v>
      </c>
      <c r="P2544">
        <v>0</v>
      </c>
      <c r="Q2544">
        <v>15</v>
      </c>
      <c r="R2544" t="s">
        <v>0</v>
      </c>
      <c r="S2544" t="s">
        <v>0</v>
      </c>
      <c r="T2544" t="s">
        <v>0</v>
      </c>
    </row>
    <row r="2545" spans="1:20" x14ac:dyDescent="0.25">
      <c r="A2545">
        <v>41300315</v>
      </c>
      <c r="B2545" t="s">
        <v>10</v>
      </c>
      <c r="C2545" t="s">
        <v>9</v>
      </c>
      <c r="D2545">
        <v>101</v>
      </c>
      <c r="E2545">
        <v>76</v>
      </c>
      <c r="F2545">
        <v>25</v>
      </c>
      <c r="G2545">
        <v>4</v>
      </c>
      <c r="H2545" s="1">
        <v>6.2268518518518515E-3</v>
      </c>
      <c r="I2545" t="s">
        <v>15</v>
      </c>
      <c r="J2545" t="s">
        <v>7</v>
      </c>
      <c r="K2545" s="2" t="str">
        <f>HYPERLINK("https://www.nba.com/stats/events?CFID=&amp;CFPARAMS=&amp;GameEventID=409&amp;GameID=0041300315&amp;Season=2013-14&amp;flag=1&amp;title=Green%2025'%203PT%20Jump%20Shot%20(12%20PTS)%20(Leonard%202%20AST)", "Green 25' 3PT Jump Shot (12 PTS) (Leonard 2 AST)")</f>
        <v>Green 25' 3PT Jump Shot (12 PTS) (Leonard 2 AST)</v>
      </c>
      <c r="L2545" s="2" t="str">
        <f>HYPERLINK("https://www.nba.com/game/...-vs-...-0041300315/play-by-play?watchFullGame=true", "SAS vs OKC - Q4 08:58.00")</f>
        <v>SAS vs OKC - Q4 08:58.00</v>
      </c>
      <c r="M2545">
        <v>25</v>
      </c>
      <c r="N2545">
        <v>-144</v>
      </c>
      <c r="O2545">
        <v>205</v>
      </c>
      <c r="P2545">
        <v>-144</v>
      </c>
      <c r="Q2545">
        <v>205</v>
      </c>
      <c r="R2545" t="s">
        <v>0</v>
      </c>
      <c r="S2545" t="s">
        <v>0</v>
      </c>
      <c r="T2545" t="s">
        <v>0</v>
      </c>
    </row>
    <row r="2546" spans="1:20" x14ac:dyDescent="0.25">
      <c r="A2546">
        <v>41400162</v>
      </c>
      <c r="B2546" t="s">
        <v>4</v>
      </c>
      <c r="C2546" t="s">
        <v>23</v>
      </c>
      <c r="D2546">
        <v>105</v>
      </c>
      <c r="E2546">
        <v>101</v>
      </c>
      <c r="F2546">
        <v>4</v>
      </c>
      <c r="G2546">
        <v>5</v>
      </c>
      <c r="H2546" s="1">
        <v>9.7222222222222219E-4</v>
      </c>
      <c r="I2546" t="s">
        <v>13</v>
      </c>
      <c r="J2546" t="s">
        <v>7</v>
      </c>
      <c r="K2546" s="2" t="str">
        <f>HYPERLINK("https://www.nba.com/stats/events?CFID=&amp;CFPARAMS=&amp;GameEventID=600&amp;GameID=0041400162&amp;Season=2014-15&amp;flag=1&amp;title=Mills%201'%20Driving%20Layup%20(14%20PTS)%20(Leonard%203%20AST)", "Mills 1' Driving Layup (14 PTS) (Leonard 3 AST)")</f>
        <v>Mills 1' Driving Layup (14 PTS) (Leonard 3 AST)</v>
      </c>
      <c r="L2546" s="2" t="str">
        <f>HYPERLINK("https://www.nba.com/game/...-vs-...-0041400162/play-by-play?watchFullGame=true", "SAS vs LAC - Q5 01:24.00")</f>
        <v>SAS vs LAC - Q5 01:24.00</v>
      </c>
      <c r="M2546">
        <v>1</v>
      </c>
      <c r="N2546">
        <v>-2</v>
      </c>
      <c r="O2546">
        <v>14</v>
      </c>
      <c r="P2546">
        <v>-2</v>
      </c>
      <c r="Q2546">
        <v>14</v>
      </c>
      <c r="R2546" t="s">
        <v>0</v>
      </c>
      <c r="S2546" t="s">
        <v>0</v>
      </c>
      <c r="T2546" t="s">
        <v>0</v>
      </c>
    </row>
    <row r="2547" spans="1:20" x14ac:dyDescent="0.25">
      <c r="A2547">
        <v>41400162</v>
      </c>
      <c r="B2547" t="s">
        <v>10</v>
      </c>
      <c r="C2547" t="s">
        <v>9</v>
      </c>
      <c r="D2547">
        <v>97</v>
      </c>
      <c r="E2547">
        <v>94</v>
      </c>
      <c r="F2547">
        <v>3</v>
      </c>
      <c r="G2547">
        <v>5</v>
      </c>
      <c r="H2547" s="1">
        <v>2.9861111111111113E-3</v>
      </c>
      <c r="I2547" t="s">
        <v>13</v>
      </c>
      <c r="J2547" t="s">
        <v>7</v>
      </c>
      <c r="K2547" s="2" t="str">
        <f>HYPERLINK("https://www.nba.com/stats/events?CFID=&amp;CFPARAMS=&amp;GameEventID=574&amp;GameID=0041400162&amp;Season=2014-15&amp;flag=1&amp;title=Green%2024'%203PT%20Jump%20Shot%20(9%20PTS)%20(Leonard%202%20AST)", "Green 24' 3PT Jump Shot (9 PTS) (Leonard 2 AST)")</f>
        <v>Green 24' 3PT Jump Shot (9 PTS) (Leonard 2 AST)</v>
      </c>
      <c r="L2547" s="2" t="str">
        <f>HYPERLINK("https://www.nba.com/game/...-vs-...-0041400162/play-by-play?watchFullGame=true", "SAS vs LAC - Q5 04:18.00")</f>
        <v>SAS vs LAC - Q5 04:18.00</v>
      </c>
      <c r="M2547">
        <v>24</v>
      </c>
      <c r="N2547">
        <v>239</v>
      </c>
      <c r="O2547">
        <v>31</v>
      </c>
      <c r="P2547">
        <v>239</v>
      </c>
      <c r="Q2547">
        <v>31</v>
      </c>
      <c r="R2547" t="s">
        <v>0</v>
      </c>
      <c r="S2547" t="s">
        <v>0</v>
      </c>
      <c r="T2547" t="s">
        <v>0</v>
      </c>
    </row>
    <row r="2548" spans="1:20" x14ac:dyDescent="0.25">
      <c r="A2548">
        <v>41400164</v>
      </c>
      <c r="B2548" t="s">
        <v>4</v>
      </c>
      <c r="C2548" t="s">
        <v>5</v>
      </c>
      <c r="D2548">
        <v>38</v>
      </c>
      <c r="E2548">
        <v>41</v>
      </c>
      <c r="F2548">
        <v>3</v>
      </c>
      <c r="G2548">
        <v>2</v>
      </c>
      <c r="H2548" s="1">
        <v>3.4953703703703705E-3</v>
      </c>
      <c r="I2548" t="s">
        <v>13</v>
      </c>
      <c r="J2548" t="s">
        <v>7</v>
      </c>
      <c r="K2548" s="2" t="str">
        <f>HYPERLINK("https://www.nba.com/stats/events?CFID=&amp;CFPARAMS=&amp;GameEventID=200&amp;GameID=0041400164&amp;Season=2014-15&amp;flag=1&amp;title=Duncan%201'%20Layup%20(2%20PTS)%20(Leonard%203%20AST)", "Duncan 1' Layup (2 PTS) (Leonard 3 AST)")</f>
        <v>Duncan 1' Layup (2 PTS) (Leonard 3 AST)</v>
      </c>
      <c r="L2548" s="2" t="str">
        <f>HYPERLINK("https://www.nba.com/game/...-vs-...-0041400164/play-by-play?watchFullGame=true", "SAS vs LAC - Q2 05:02.00")</f>
        <v>SAS vs LAC - Q2 05:02.00</v>
      </c>
      <c r="M2548">
        <v>1</v>
      </c>
      <c r="N2548">
        <v>7</v>
      </c>
      <c r="O2548">
        <v>6</v>
      </c>
      <c r="P2548">
        <v>7</v>
      </c>
      <c r="Q2548">
        <v>6</v>
      </c>
      <c r="R2548" t="s">
        <v>0</v>
      </c>
      <c r="S2548" t="s">
        <v>0</v>
      </c>
      <c r="T2548" t="s">
        <v>0</v>
      </c>
    </row>
    <row r="2549" spans="1:20" x14ac:dyDescent="0.25">
      <c r="A2549">
        <v>41500232</v>
      </c>
      <c r="B2549" t="s">
        <v>4</v>
      </c>
      <c r="C2549" t="s">
        <v>23</v>
      </c>
      <c r="D2549">
        <v>76</v>
      </c>
      <c r="E2549">
        <v>77</v>
      </c>
      <c r="F2549">
        <v>1</v>
      </c>
      <c r="G2549">
        <v>3</v>
      </c>
      <c r="H2549" s="1">
        <v>9.2592592592592596E-4</v>
      </c>
      <c r="I2549" t="s">
        <v>11</v>
      </c>
      <c r="J2549" t="s">
        <v>7</v>
      </c>
      <c r="K2549" s="2" t="str">
        <f>HYPERLINK("https://www.nba.com/stats/events?CFID=&amp;CFPARAMS=&amp;GameEventID=362&amp;GameID=0041500232&amp;Season=2015-16&amp;flag=1&amp;title=Aldridge%202'%20Driving%20Layup%20(28%20PTS)%20(Leonard%202%20AST)", "Aldridge 2' Driving Layup (28 PTS) (Leonard 2 AST)")</f>
        <v>Aldridge 2' Driving Layup (28 PTS) (Leonard 2 AST)</v>
      </c>
      <c r="L2549" s="2" t="str">
        <f>HYPERLINK("https://www.nba.com/game/...-vs-...-0041500232/play-by-play?watchFullGame=true", "SAS vs OKC - Q3 01:20.00")</f>
        <v>SAS vs OKC - Q3 01:20.00</v>
      </c>
      <c r="M2549">
        <v>2</v>
      </c>
      <c r="N2549">
        <v>19</v>
      </c>
      <c r="O2549">
        <v>3</v>
      </c>
      <c r="P2549">
        <v>19</v>
      </c>
      <c r="Q2549">
        <v>3</v>
      </c>
      <c r="R2549" t="s">
        <v>0</v>
      </c>
      <c r="S2549" t="s">
        <v>0</v>
      </c>
      <c r="T2549" t="s">
        <v>0</v>
      </c>
    </row>
    <row r="2550" spans="1:20" x14ac:dyDescent="0.25">
      <c r="A2550">
        <v>41600152</v>
      </c>
      <c r="B2550" t="s">
        <v>4</v>
      </c>
      <c r="C2550" t="s">
        <v>23</v>
      </c>
      <c r="D2550">
        <v>29</v>
      </c>
      <c r="E2550">
        <v>16</v>
      </c>
      <c r="F2550">
        <v>13</v>
      </c>
      <c r="G2550">
        <v>1</v>
      </c>
      <c r="H2550" s="1">
        <v>1.7361111111111111E-5</v>
      </c>
      <c r="I2550" t="s">
        <v>8</v>
      </c>
      <c r="J2550" t="s">
        <v>7</v>
      </c>
      <c r="K2550" s="2" t="str">
        <f>HYPERLINK("https://www.nba.com/stats/events?CFID=&amp;CFPARAMS=&amp;GameEventID=131&amp;GameID=0041600152&amp;Season=2016-17&amp;flag=1&amp;title=Gasol%202'%20Driving%20Layup%20(2%20PTS)%20(Leonard%201%20AST)", "Gasol 2' Driving Layup (2 PTS) (Leonard 1 AST)")</f>
        <v>Gasol 2' Driving Layup (2 PTS) (Leonard 1 AST)</v>
      </c>
      <c r="L2550" s="2" t="str">
        <f>HYPERLINK("https://www.nba.com/game/...-vs-...-0041600152/play-by-play?watchFullGame=true", "SAS vs MEM - Q1 00:01.50")</f>
        <v>SAS vs MEM - Q1 00:01.50</v>
      </c>
      <c r="M2550">
        <v>2</v>
      </c>
      <c r="N2550">
        <v>10</v>
      </c>
      <c r="O2550">
        <v>21</v>
      </c>
      <c r="P2550">
        <v>10</v>
      </c>
      <c r="Q2550">
        <v>21</v>
      </c>
      <c r="R2550" t="s">
        <v>0</v>
      </c>
      <c r="S2550" t="s">
        <v>0</v>
      </c>
      <c r="T2550" t="s">
        <v>0</v>
      </c>
    </row>
    <row r="2551" spans="1:20" x14ac:dyDescent="0.25">
      <c r="A2551">
        <v>41600231</v>
      </c>
      <c r="B2551" t="s">
        <v>4</v>
      </c>
      <c r="C2551" t="s">
        <v>19</v>
      </c>
      <c r="D2551">
        <v>37</v>
      </c>
      <c r="E2551">
        <v>65</v>
      </c>
      <c r="F2551">
        <v>28</v>
      </c>
      <c r="G2551">
        <v>2</v>
      </c>
      <c r="H2551" s="1">
        <v>1.0185185185185184E-3</v>
      </c>
      <c r="I2551" t="s">
        <v>8</v>
      </c>
      <c r="J2551" t="s">
        <v>7</v>
      </c>
      <c r="K2551" s="2" t="str">
        <f>HYPERLINK("https://www.nba.com/stats/events?CFID=&amp;CFPARAMS=&amp;GameEventID=226&amp;GameID=0041600231&amp;Season=2016-17&amp;flag=1&amp;title=Mills%2019'%20Pullup%20Jump%20Shot%20(5%20PTS)%20(Leonard%203%20AST)", "Mills 19' Pullup Jump Shot (5 PTS) (Leonard 3 AST)")</f>
        <v>Mills 19' Pullup Jump Shot (5 PTS) (Leonard 3 AST)</v>
      </c>
      <c r="L2551" s="2" t="str">
        <f>HYPERLINK("https://www.nba.com/game/...-vs-...-0041600231/play-by-play?watchFullGame=true", "SAS vs HOU - Q2 01:28.00")</f>
        <v>SAS vs HOU - Q2 01:28.00</v>
      </c>
      <c r="M2551">
        <v>19</v>
      </c>
      <c r="N2551">
        <v>-127</v>
      </c>
      <c r="O2551">
        <v>139</v>
      </c>
      <c r="P2551">
        <v>-127</v>
      </c>
      <c r="Q2551">
        <v>139</v>
      </c>
      <c r="R2551" t="s">
        <v>0</v>
      </c>
      <c r="S2551" t="s">
        <v>0</v>
      </c>
      <c r="T2551" t="s">
        <v>0</v>
      </c>
    </row>
    <row r="2552" spans="1:20" x14ac:dyDescent="0.25">
      <c r="A2552">
        <v>41600311</v>
      </c>
      <c r="B2552" t="s">
        <v>4</v>
      </c>
      <c r="C2552" t="s">
        <v>29</v>
      </c>
      <c r="D2552">
        <v>52</v>
      </c>
      <c r="E2552">
        <v>35</v>
      </c>
      <c r="F2552">
        <v>17</v>
      </c>
      <c r="G2552">
        <v>2</v>
      </c>
      <c r="H2552" s="1">
        <v>1.9907407407407408E-3</v>
      </c>
      <c r="I2552" t="s">
        <v>8</v>
      </c>
      <c r="J2552" t="s">
        <v>7</v>
      </c>
      <c r="K2552" s="2" t="str">
        <f>HYPERLINK("https://www.nba.com/stats/events?CFID=&amp;CFPARAMS=&amp;GameEventID=239&amp;GameID=0041600311&amp;Season=2016-17&amp;flag=1&amp;title=Ginobili%2011'%20Driving%20Floating%20Jump%20Shot%20(9%20PTS)%20(Leonard%202%20AST)", "Ginobili 11' Driving Floating Jump Shot (9 PTS) (Leonard 2 AST)")</f>
        <v>Ginobili 11' Driving Floating Jump Shot (9 PTS) (Leonard 2 AST)</v>
      </c>
      <c r="L2552" s="2" t="str">
        <f>HYPERLINK("https://www.nba.com/game/...-vs-...-0041600311/play-by-play?watchFullGame=true", "SAS vs GSW - Q2 02:52.00")</f>
        <v>SAS vs GSW - Q2 02:52.00</v>
      </c>
      <c r="M2552">
        <v>11</v>
      </c>
      <c r="N2552">
        <v>33</v>
      </c>
      <c r="O2552">
        <v>100</v>
      </c>
      <c r="P2552">
        <v>33</v>
      </c>
      <c r="Q2552">
        <v>100</v>
      </c>
      <c r="R2552" t="s">
        <v>0</v>
      </c>
      <c r="S2552" t="s">
        <v>0</v>
      </c>
      <c r="T2552" t="s">
        <v>0</v>
      </c>
    </row>
    <row r="2553" spans="1:20" x14ac:dyDescent="0.25">
      <c r="A2553">
        <v>41800112</v>
      </c>
      <c r="B2553" t="s">
        <v>4</v>
      </c>
      <c r="C2553" t="s">
        <v>28</v>
      </c>
      <c r="D2553">
        <v>20</v>
      </c>
      <c r="E2553">
        <v>8</v>
      </c>
      <c r="F2553">
        <v>12</v>
      </c>
      <c r="G2553">
        <v>1</v>
      </c>
      <c r="H2553" s="1">
        <v>3.4837962962962965E-3</v>
      </c>
      <c r="I2553" t="s">
        <v>2</v>
      </c>
      <c r="J2553" t="s">
        <v>1</v>
      </c>
      <c r="K2553" s="2" t="str">
        <f>HYPERLINK("https://www.nba.com/stats/events?CFID=&amp;CFPARAMS=&amp;GameEventID=97&amp;GameID=0041800112&amp;Season=2018-19&amp;flag=1&amp;title=Ibaka%202'%20Driving%20Finger%20Roll%20Layup%20(2%20PTS)%20(Leonard%202%20AST)", "Ibaka 2' Driving Finger Roll Layup (2 PTS) (Leonard 2 AST)")</f>
        <v>Ibaka 2' Driving Finger Roll Layup (2 PTS) (Leonard 2 AST)</v>
      </c>
      <c r="L2553" s="2" t="str">
        <f>HYPERLINK("https://www.nba.com/game/...-vs-...-0041800112/play-by-play?watchFullGame=true", "TOR vs ORL - Q1 05:01.00")</f>
        <v>TOR vs ORL - Q1 05:01.00</v>
      </c>
      <c r="M2553">
        <v>2</v>
      </c>
      <c r="N2553">
        <v>-11</v>
      </c>
      <c r="O2553">
        <v>15</v>
      </c>
      <c r="P2553">
        <v>-11</v>
      </c>
      <c r="Q2553">
        <v>15</v>
      </c>
      <c r="R2553" t="s">
        <v>0</v>
      </c>
      <c r="S2553" t="s">
        <v>0</v>
      </c>
      <c r="T2553" t="s">
        <v>0</v>
      </c>
    </row>
    <row r="2554" spans="1:20" x14ac:dyDescent="0.25">
      <c r="A2554">
        <v>41800212</v>
      </c>
      <c r="B2554" t="s">
        <v>10</v>
      </c>
      <c r="C2554" t="s">
        <v>9</v>
      </c>
      <c r="D2554">
        <v>46</v>
      </c>
      <c r="E2554">
        <v>53</v>
      </c>
      <c r="F2554">
        <v>7</v>
      </c>
      <c r="G2554">
        <v>3</v>
      </c>
      <c r="H2554" s="1">
        <v>5.8217592592592592E-3</v>
      </c>
      <c r="I2554" t="s">
        <v>2</v>
      </c>
      <c r="J2554" t="s">
        <v>1</v>
      </c>
      <c r="K2554" s="2" t="str">
        <f>HYPERLINK("https://www.nba.com/stats/events?CFID=&amp;CFPARAMS=&amp;GameEventID=372&amp;GameID=0041800212&amp;Season=2018-19&amp;flag=1&amp;title=Siakam%2024'%203PT%20Jump%20Shot%20(10%20PTS)%20(Leonard%202%20AST)", "Siakam 24' 3PT Jump Shot (10 PTS) (Leonard 2 AST)")</f>
        <v>Siakam 24' 3PT Jump Shot (10 PTS) (Leonard 2 AST)</v>
      </c>
      <c r="L2554" s="2" t="str">
        <f>HYPERLINK("https://www.nba.com/game/...-vs-...-0041800212/play-by-play?watchFullGame=true", "TOR vs PHI - Q3 08:23.00")</f>
        <v>TOR vs PHI - Q3 08:23.00</v>
      </c>
      <c r="M2554">
        <v>24</v>
      </c>
      <c r="N2554">
        <v>-235</v>
      </c>
      <c r="O2554">
        <v>0</v>
      </c>
      <c r="P2554">
        <v>-235</v>
      </c>
      <c r="Q2554">
        <v>0</v>
      </c>
      <c r="R2554" t="s">
        <v>0</v>
      </c>
      <c r="S2554" t="s">
        <v>0</v>
      </c>
      <c r="T2554" t="s">
        <v>0</v>
      </c>
    </row>
    <row r="2555" spans="1:20" x14ac:dyDescent="0.25">
      <c r="A2555">
        <v>41800212</v>
      </c>
      <c r="B2555" t="s">
        <v>10</v>
      </c>
      <c r="C2555" t="s">
        <v>9</v>
      </c>
      <c r="D2555">
        <v>87</v>
      </c>
      <c r="E2555">
        <v>90</v>
      </c>
      <c r="F2555">
        <v>3</v>
      </c>
      <c r="G2555">
        <v>4</v>
      </c>
      <c r="H2555" s="1">
        <v>1.1111111111111111E-3</v>
      </c>
      <c r="I2555" t="s">
        <v>2</v>
      </c>
      <c r="J2555" t="s">
        <v>1</v>
      </c>
      <c r="K2555" s="2" t="str">
        <f>HYPERLINK("https://www.nba.com/stats/events?CFID=&amp;CFPARAMS=&amp;GameEventID=628&amp;GameID=0041800212&amp;Season=2018-19&amp;flag=1&amp;title=Lowry%2026'%203PT%20Jump%20Shot%20(20%20PTS)%20(Leonard%206%20AST)", "Lowry 26' 3PT Jump Shot (20 PTS) (Leonard 6 AST)")</f>
        <v>Lowry 26' 3PT Jump Shot (20 PTS) (Leonard 6 AST)</v>
      </c>
      <c r="L2555" s="2" t="str">
        <f>HYPERLINK("https://www.nba.com/game/...-vs-...-0041800212/play-by-play?watchFullGame=true", "TOR vs PHI - Q4 01:36.00")</f>
        <v>TOR vs PHI - Q4 01:36.00</v>
      </c>
      <c r="M2555">
        <v>26</v>
      </c>
      <c r="N2555">
        <v>119</v>
      </c>
      <c r="O2555">
        <v>228</v>
      </c>
      <c r="P2555">
        <v>119</v>
      </c>
      <c r="Q2555">
        <v>228</v>
      </c>
      <c r="R2555" t="s">
        <v>0</v>
      </c>
      <c r="S2555" t="s">
        <v>0</v>
      </c>
      <c r="T2555" t="s">
        <v>0</v>
      </c>
    </row>
    <row r="2556" spans="1:20" x14ac:dyDescent="0.25">
      <c r="A2556">
        <v>41800213</v>
      </c>
      <c r="B2556" t="s">
        <v>4</v>
      </c>
      <c r="C2556" t="s">
        <v>20</v>
      </c>
      <c r="D2556">
        <v>9</v>
      </c>
      <c r="E2556">
        <v>11</v>
      </c>
      <c r="F2556">
        <v>2</v>
      </c>
      <c r="G2556">
        <v>1</v>
      </c>
      <c r="H2556" s="1">
        <v>5.6828703703703702E-3</v>
      </c>
      <c r="I2556" t="s">
        <v>2</v>
      </c>
      <c r="J2556" t="s">
        <v>1</v>
      </c>
      <c r="K2556" s="2" t="str">
        <f>HYPERLINK("https://www.nba.com/stats/events?CFID=&amp;CFPARAMS=&amp;GameEventID=38&amp;GameID=0041800213&amp;Season=2018-19&amp;flag=1&amp;title=Siakam%202'%20Cutting%20Layup%20Shot%20(2%20PTS)%20(Leonard%201%20AST)", "Siakam 2' Cutting Layup Shot (2 PTS) (Leonard 1 AST)")</f>
        <v>Siakam 2' Cutting Layup Shot (2 PTS) (Leonard 1 AST)</v>
      </c>
      <c r="L2556" s="2" t="str">
        <f>HYPERLINK("https://www.nba.com/game/...-vs-...-0041800213/play-by-play?watchFullGame=true", "TOR vs PHI - Q1 08:11.00")</f>
        <v>TOR vs PHI - Q1 08:11.00</v>
      </c>
      <c r="M2556">
        <v>2</v>
      </c>
      <c r="N2556">
        <v>20</v>
      </c>
      <c r="O2556">
        <v>-5</v>
      </c>
      <c r="P2556">
        <v>20</v>
      </c>
      <c r="Q2556">
        <v>-5</v>
      </c>
      <c r="R2556" t="s">
        <v>0</v>
      </c>
      <c r="S2556" t="s">
        <v>0</v>
      </c>
      <c r="T2556" t="s">
        <v>0</v>
      </c>
    </row>
    <row r="2557" spans="1:20" x14ac:dyDescent="0.25">
      <c r="A2557">
        <v>41800305</v>
      </c>
      <c r="B2557" t="s">
        <v>10</v>
      </c>
      <c r="C2557" t="s">
        <v>9</v>
      </c>
      <c r="D2557">
        <v>32</v>
      </c>
      <c r="E2557">
        <v>34</v>
      </c>
      <c r="F2557">
        <v>2</v>
      </c>
      <c r="G2557">
        <v>2</v>
      </c>
      <c r="H2557" s="1">
        <v>4.0856481481481481E-3</v>
      </c>
      <c r="I2557" t="s">
        <v>2</v>
      </c>
      <c r="J2557" t="s">
        <v>1</v>
      </c>
      <c r="K2557" s="2" t="str">
        <f>HYPERLINK("https://www.nba.com/stats/events?CFID=&amp;CFPARAMS=&amp;GameEventID=250&amp;GameID=0041800305&amp;Season=2018-19&amp;flag=1&amp;title=VanVleet%2029'%203PT%20Jump%20Shot%20(6%20PTS)%20(Leonard%203%20AST)", "VanVleet 29' 3PT Jump Shot (6 PTS) (Leonard 3 AST)")</f>
        <v>VanVleet 29' 3PT Jump Shot (6 PTS) (Leonard 3 AST)</v>
      </c>
      <c r="L2557" s="2" t="str">
        <f>HYPERLINK("https://www.nba.com/game/...-vs-...-0041800305/play-by-play?watchFullGame=true", "TOR vs MIL - Q2 05:53.00")</f>
        <v>TOR vs MIL - Q2 05:53.00</v>
      </c>
      <c r="M2557">
        <v>29</v>
      </c>
      <c r="N2557">
        <v>111</v>
      </c>
      <c r="O2557">
        <v>267</v>
      </c>
      <c r="P2557">
        <v>111</v>
      </c>
      <c r="Q2557">
        <v>267</v>
      </c>
      <c r="R2557" t="s">
        <v>0</v>
      </c>
      <c r="S2557" t="s">
        <v>0</v>
      </c>
      <c r="T2557" t="s">
        <v>0</v>
      </c>
    </row>
    <row r="2558" spans="1:20" x14ac:dyDescent="0.25">
      <c r="A2558">
        <v>41800404</v>
      </c>
      <c r="B2558" t="s">
        <v>10</v>
      </c>
      <c r="C2558" t="s">
        <v>19</v>
      </c>
      <c r="D2558">
        <v>91</v>
      </c>
      <c r="E2558">
        <v>76</v>
      </c>
      <c r="F2558">
        <v>15</v>
      </c>
      <c r="G2558">
        <v>4</v>
      </c>
      <c r="H2558" s="1">
        <v>5.2546296296296299E-3</v>
      </c>
      <c r="I2558" t="s">
        <v>2</v>
      </c>
      <c r="J2558" t="s">
        <v>1</v>
      </c>
      <c r="K2558" s="2" t="str">
        <f>HYPERLINK("https://www.nba.com/stats/events?CFID=&amp;CFPARAMS=&amp;GameEventID=568&amp;GameID=0041800404&amp;Season=2018-19&amp;flag=1&amp;title=Green%203PT%20Pullup%20Jump%20Shot%20(3%20PTS)%20(Leonard%202%20AST)", "Green 3PT Pullup Jump Shot (3 PTS) (Leonard 2 AST)")</f>
        <v>Green 3PT Pullup Jump Shot (3 PTS) (Leonard 2 AST)</v>
      </c>
      <c r="L2558" s="2" t="str">
        <f>HYPERLINK("https://www.nba.com/game/...-vs-...-0041800404/play-by-play?watchFullGame=true", "TOR vs GSW - Q4 07:34.00")</f>
        <v>TOR vs GSW - Q4 07:34.00</v>
      </c>
      <c r="M2558">
        <v>0</v>
      </c>
      <c r="N2558">
        <v>229</v>
      </c>
      <c r="O2558">
        <v>10</v>
      </c>
      <c r="P2558">
        <v>229</v>
      </c>
      <c r="Q2558">
        <v>10</v>
      </c>
      <c r="R2558" t="s">
        <v>0</v>
      </c>
      <c r="S2558" t="s">
        <v>0</v>
      </c>
      <c r="T2558" t="s">
        <v>0</v>
      </c>
    </row>
    <row r="2559" spans="1:20" x14ac:dyDescent="0.25">
      <c r="A2559">
        <v>41200151</v>
      </c>
      <c r="B2559" t="s">
        <v>4</v>
      </c>
      <c r="C2559" t="s">
        <v>9</v>
      </c>
      <c r="D2559">
        <v>9</v>
      </c>
      <c r="E2559">
        <v>4</v>
      </c>
      <c r="F2559">
        <v>5</v>
      </c>
      <c r="G2559">
        <v>1</v>
      </c>
      <c r="H2559" s="1">
        <v>5.4861111111111109E-3</v>
      </c>
      <c r="I2559" t="s">
        <v>27</v>
      </c>
      <c r="J2559" t="s">
        <v>7</v>
      </c>
      <c r="K2559" s="2" t="str">
        <f>HYPERLINK("https://www.nba.com/stats/events?CFID=&amp;CFPARAMS=&amp;GameEventID=30&amp;GameID=0041200151&amp;Season=2012-13&amp;flag=1&amp;title=Parker%208'%20Jump%20Shot%20(2%20PTS)%20(Leonard%202%20AST)", "Parker 8' Jump Shot (2 PTS) (Leonard 2 AST)")</f>
        <v>Parker 8' Jump Shot (2 PTS) (Leonard 2 AST)</v>
      </c>
      <c r="L2559" s="2" t="str">
        <f>HYPERLINK("https://www.nba.com/game/...-vs-...-0041200151/play-by-play?watchFullGame=true", "SAS vs LAL - Q1 07:54.00")</f>
        <v>SAS vs LAL - Q1 07:54.00</v>
      </c>
      <c r="M2559">
        <v>8</v>
      </c>
      <c r="N2559">
        <v>1</v>
      </c>
      <c r="O2559">
        <v>77</v>
      </c>
      <c r="P2559">
        <v>1</v>
      </c>
      <c r="Q2559">
        <v>77</v>
      </c>
      <c r="R2559" t="s">
        <v>0</v>
      </c>
      <c r="S2559" t="s">
        <v>0</v>
      </c>
      <c r="T2559" t="s">
        <v>0</v>
      </c>
    </row>
    <row r="2560" spans="1:20" x14ac:dyDescent="0.25">
      <c r="A2560">
        <v>41200154</v>
      </c>
      <c r="B2560" t="s">
        <v>4</v>
      </c>
      <c r="C2560" t="s">
        <v>9</v>
      </c>
      <c r="D2560">
        <v>99</v>
      </c>
      <c r="E2560">
        <v>78</v>
      </c>
      <c r="F2560">
        <v>21</v>
      </c>
      <c r="G2560">
        <v>4</v>
      </c>
      <c r="H2560" s="1">
        <v>3.1597222222222222E-3</v>
      </c>
      <c r="I2560" t="s">
        <v>27</v>
      </c>
      <c r="J2560" t="s">
        <v>7</v>
      </c>
      <c r="K2560" s="2" t="str">
        <f>HYPERLINK("https://www.nba.com/stats/events?CFID=&amp;CFPARAMS=&amp;GameEventID=447&amp;GameID=0041200154&amp;Season=2012-13&amp;flag=1&amp;title=Blair%2016'%20Jump%20Shot%20(11%20PTS)%20(Leonard%201%20AST)", "Blair 16' Jump Shot (11 PTS) (Leonard 1 AST)")</f>
        <v>Blair 16' Jump Shot (11 PTS) (Leonard 1 AST)</v>
      </c>
      <c r="L2560" s="2" t="str">
        <f>HYPERLINK("https://www.nba.com/game/...-vs-...-0041200154/play-by-play?watchFullGame=true", "SAS vs LAL - Q4 04:33.00")</f>
        <v>SAS vs LAL - Q4 04:33.00</v>
      </c>
      <c r="M2560">
        <v>16</v>
      </c>
      <c r="N2560">
        <v>48</v>
      </c>
      <c r="O2560">
        <v>151</v>
      </c>
      <c r="P2560">
        <v>48</v>
      </c>
      <c r="Q2560">
        <v>151</v>
      </c>
      <c r="R2560" t="s">
        <v>0</v>
      </c>
      <c r="S2560" t="s">
        <v>0</v>
      </c>
      <c r="T2560" t="s">
        <v>0</v>
      </c>
    </row>
    <row r="2561" spans="1:20" x14ac:dyDescent="0.25">
      <c r="A2561">
        <v>41300143</v>
      </c>
      <c r="B2561" t="s">
        <v>4</v>
      </c>
      <c r="C2561" t="s">
        <v>9</v>
      </c>
      <c r="D2561">
        <v>18</v>
      </c>
      <c r="E2561">
        <v>18</v>
      </c>
      <c r="F2561">
        <v>0</v>
      </c>
      <c r="G2561">
        <v>1</v>
      </c>
      <c r="H2561" s="1">
        <v>3.4027777777777776E-3</v>
      </c>
      <c r="I2561" t="s">
        <v>15</v>
      </c>
      <c r="J2561" t="s">
        <v>7</v>
      </c>
      <c r="K2561" s="2" t="str">
        <f>HYPERLINK("https://www.nba.com/stats/events?CFID=&amp;CFPARAMS=&amp;GameEventID=60&amp;GameID=0041300143&amp;Season=2013-14&amp;flag=1&amp;title=Parker%2017'%20Jump%20Shot%20(8%20PTS)%20(Leonard%201%20AST)", "Parker 17' Jump Shot (8 PTS) (Leonard 1 AST)")</f>
        <v>Parker 17' Jump Shot (8 PTS) (Leonard 1 AST)</v>
      </c>
      <c r="L2561" s="2" t="str">
        <f>HYPERLINK("https://www.nba.com/game/...-vs-...-0041300143/play-by-play?watchFullGame=true", "SAS vs DAL - Q1 04:54.00")</f>
        <v>SAS vs DAL - Q1 04:54.00</v>
      </c>
      <c r="M2561">
        <v>17</v>
      </c>
      <c r="N2561">
        <v>-46</v>
      </c>
      <c r="O2561">
        <v>168</v>
      </c>
      <c r="P2561">
        <v>-46</v>
      </c>
      <c r="Q2561">
        <v>168</v>
      </c>
      <c r="R2561" t="s">
        <v>0</v>
      </c>
      <c r="S2561" t="s">
        <v>0</v>
      </c>
      <c r="T2561" t="s">
        <v>0</v>
      </c>
    </row>
    <row r="2562" spans="1:20" x14ac:dyDescent="0.25">
      <c r="A2562">
        <v>41300312</v>
      </c>
      <c r="B2562" t="s">
        <v>4</v>
      </c>
      <c r="C2562" t="s">
        <v>5</v>
      </c>
      <c r="D2562">
        <v>8</v>
      </c>
      <c r="E2562">
        <v>7</v>
      </c>
      <c r="F2562">
        <v>1</v>
      </c>
      <c r="G2562">
        <v>1</v>
      </c>
      <c r="H2562" s="1">
        <v>5.138888888888889E-3</v>
      </c>
      <c r="I2562" t="s">
        <v>15</v>
      </c>
      <c r="J2562" t="s">
        <v>7</v>
      </c>
      <c r="K2562" s="2" t="str">
        <f>HYPERLINK("https://www.nba.com/stats/events?CFID=&amp;CFPARAMS=&amp;GameEventID=38&amp;GameID=0041300312&amp;Season=2013-14&amp;flag=1&amp;title=Splitter%202'%20Layup%20(2%20PTS)%20(Leonard%202%20AST)", "Splitter 2' Layup (2 PTS) (Leonard 2 AST)")</f>
        <v>Splitter 2' Layup (2 PTS) (Leonard 2 AST)</v>
      </c>
      <c r="L2562" s="2" t="str">
        <f>HYPERLINK("https://www.nba.com/game/...-vs-...-0041300312/play-by-play?watchFullGame=true", "SAS vs OKC - Q1 07:24.00")</f>
        <v>SAS vs OKC - Q1 07:24.00</v>
      </c>
      <c r="M2562">
        <v>2</v>
      </c>
      <c r="N2562">
        <v>13</v>
      </c>
      <c r="O2562">
        <v>-8</v>
      </c>
      <c r="P2562">
        <v>13</v>
      </c>
      <c r="Q2562">
        <v>-8</v>
      </c>
      <c r="R2562" t="s">
        <v>0</v>
      </c>
      <c r="S2562" t="s">
        <v>0</v>
      </c>
      <c r="T2562" t="s">
        <v>0</v>
      </c>
    </row>
    <row r="2563" spans="1:20" x14ac:dyDescent="0.25">
      <c r="A2563">
        <v>41300402</v>
      </c>
      <c r="B2563" t="s">
        <v>4</v>
      </c>
      <c r="C2563" t="s">
        <v>9</v>
      </c>
      <c r="D2563">
        <v>45</v>
      </c>
      <c r="E2563">
        <v>43</v>
      </c>
      <c r="F2563">
        <v>2</v>
      </c>
      <c r="G2563">
        <v>3</v>
      </c>
      <c r="H2563" s="1">
        <v>7.8819444444444449E-3</v>
      </c>
      <c r="I2563" t="s">
        <v>15</v>
      </c>
      <c r="J2563" t="s">
        <v>7</v>
      </c>
      <c r="K2563" s="2" t="str">
        <f>HYPERLINK("https://www.nba.com/stats/events?CFID=&amp;CFPARAMS=&amp;GameEventID=253&amp;GameID=0041300402&amp;Season=2013-14&amp;flag=1&amp;title=Parker%2020'%20Jump%20Shot%20(14%20PTS)%20(Leonard%203%20AST)", "Parker 20' Jump Shot (14 PTS) (Leonard 3 AST)")</f>
        <v>Parker 20' Jump Shot (14 PTS) (Leonard 3 AST)</v>
      </c>
      <c r="L2563" s="2" t="str">
        <f>HYPERLINK("https://www.nba.com/game/...-vs-...-0041300402/play-by-play?watchFullGame=true", "SAS vs MIA - Q3 11:21.00")</f>
        <v>SAS vs MIA - Q3 11:21.00</v>
      </c>
      <c r="M2563">
        <v>20</v>
      </c>
      <c r="N2563">
        <v>-179</v>
      </c>
      <c r="O2563">
        <v>85</v>
      </c>
      <c r="P2563">
        <v>-179</v>
      </c>
      <c r="Q2563">
        <v>85</v>
      </c>
      <c r="R2563" t="s">
        <v>0</v>
      </c>
      <c r="S2563" t="s">
        <v>0</v>
      </c>
      <c r="T2563" t="s">
        <v>0</v>
      </c>
    </row>
    <row r="2564" spans="1:20" x14ac:dyDescent="0.25">
      <c r="A2564">
        <v>41300405</v>
      </c>
      <c r="B2564" t="s">
        <v>4</v>
      </c>
      <c r="C2564" t="s">
        <v>26</v>
      </c>
      <c r="D2564">
        <v>20</v>
      </c>
      <c r="E2564">
        <v>27</v>
      </c>
      <c r="F2564">
        <v>7</v>
      </c>
      <c r="G2564">
        <v>1</v>
      </c>
      <c r="H2564" s="1">
        <v>1.1921296296296296E-3</v>
      </c>
      <c r="I2564" t="s">
        <v>15</v>
      </c>
      <c r="J2564" t="s">
        <v>7</v>
      </c>
      <c r="K2564" s="2" t="str">
        <f>HYPERLINK("https://www.nba.com/stats/events?CFID=&amp;CFPARAMS=&amp;GameEventID=110&amp;GameID=0041300405&amp;Season=2013-14&amp;flag=1&amp;title=Splitter%202'%20Reverse%20Layup%20(3%20PTS)%20(Leonard%201%20AST)", "Splitter 2' Reverse Layup (3 PTS) (Leonard 1 AST)")</f>
        <v>Splitter 2' Reverse Layup (3 PTS) (Leonard 1 AST)</v>
      </c>
      <c r="L2564" s="2" t="str">
        <f>HYPERLINK("https://www.nba.com/game/...-vs-...-0041300405/play-by-play?watchFullGame=true", "SAS vs MIA - Q1 01:43.00")</f>
        <v>SAS vs MIA - Q1 01:43.00</v>
      </c>
      <c r="M2564">
        <v>2</v>
      </c>
      <c r="N2564">
        <v>18</v>
      </c>
      <c r="O2564">
        <v>-3</v>
      </c>
      <c r="P2564">
        <v>18</v>
      </c>
      <c r="Q2564">
        <v>-3</v>
      </c>
      <c r="R2564" t="s">
        <v>0</v>
      </c>
      <c r="S2564" t="s">
        <v>0</v>
      </c>
      <c r="T2564" t="s">
        <v>0</v>
      </c>
    </row>
    <row r="2565" spans="1:20" x14ac:dyDescent="0.25">
      <c r="A2565">
        <v>41500236</v>
      </c>
      <c r="B2565" t="s">
        <v>10</v>
      </c>
      <c r="C2565" t="s">
        <v>9</v>
      </c>
      <c r="D2565">
        <v>62</v>
      </c>
      <c r="E2565">
        <v>86</v>
      </c>
      <c r="F2565">
        <v>24</v>
      </c>
      <c r="G2565">
        <v>3</v>
      </c>
      <c r="H2565" s="1">
        <v>1.8981481481481482E-3</v>
      </c>
      <c r="I2565" t="s">
        <v>11</v>
      </c>
      <c r="J2565" t="s">
        <v>7</v>
      </c>
      <c r="K2565" s="2" t="str">
        <f>HYPERLINK("https://www.nba.com/stats/events?CFID=&amp;CFPARAMS=&amp;GameEventID=350&amp;GameID=0041500236&amp;Season=2015-16&amp;flag=1&amp;title=Mills%2025'%203PT%20Jump%20Shot%20(5%20PTS)%20(Leonard%204%20AST)", "Mills 25' 3PT Jump Shot (5 PTS) (Leonard 4 AST)")</f>
        <v>Mills 25' 3PT Jump Shot (5 PTS) (Leonard 4 AST)</v>
      </c>
      <c r="L2565" s="2" t="str">
        <f>HYPERLINK("https://www.nba.com/game/...-vs-...-0041500236/play-by-play?watchFullGame=true", "SAS vs OKC - Q3 02:44.00")</f>
        <v>SAS vs OKC - Q3 02:44.00</v>
      </c>
      <c r="M2565">
        <v>25</v>
      </c>
      <c r="N2565">
        <v>-14</v>
      </c>
      <c r="O2565">
        <v>247</v>
      </c>
      <c r="P2565">
        <v>-14</v>
      </c>
      <c r="Q2565">
        <v>247</v>
      </c>
      <c r="R2565" t="s">
        <v>0</v>
      </c>
      <c r="S2565" t="s">
        <v>0</v>
      </c>
      <c r="T2565" t="s">
        <v>0</v>
      </c>
    </row>
    <row r="2566" spans="1:20" x14ac:dyDescent="0.25">
      <c r="A2566">
        <v>41800213</v>
      </c>
      <c r="B2566" t="s">
        <v>4</v>
      </c>
      <c r="C2566" t="s">
        <v>16</v>
      </c>
      <c r="D2566">
        <v>79</v>
      </c>
      <c r="E2566">
        <v>87</v>
      </c>
      <c r="F2566">
        <v>8</v>
      </c>
      <c r="G2566">
        <v>3</v>
      </c>
      <c r="H2566" s="1">
        <v>9.0277777777777774E-4</v>
      </c>
      <c r="I2566" t="s">
        <v>2</v>
      </c>
      <c r="J2566" t="s">
        <v>1</v>
      </c>
      <c r="K2566" s="2" t="str">
        <f>HYPERLINK("https://www.nba.com/stats/events?CFID=&amp;CFPARAMS=&amp;GameEventID=452&amp;GameID=0041800213&amp;Season=2018-19&amp;flag=1&amp;title=Siakam%20Running%20Dunk%20(20%20PTS)%20(Leonard%203%20AST)", "Siakam Running Dunk (20 PTS) (Leonard 3 AST)")</f>
        <v>Siakam Running Dunk (20 PTS) (Leonard 3 AST)</v>
      </c>
      <c r="L2566" s="2" t="str">
        <f>HYPERLINK("https://www.nba.com/game/...-vs-...-0041800213/play-by-play?watchFullGame=true", "TOR vs PHI - Q3 01:18.00")</f>
        <v>TOR vs PHI - Q3 01:18.00</v>
      </c>
      <c r="M2566">
        <v>0</v>
      </c>
      <c r="N2566">
        <v>1</v>
      </c>
      <c r="O2566">
        <v>4</v>
      </c>
      <c r="P2566">
        <v>1</v>
      </c>
      <c r="Q2566">
        <v>4</v>
      </c>
      <c r="R2566" t="s">
        <v>0</v>
      </c>
      <c r="S2566" t="s">
        <v>0</v>
      </c>
      <c r="T2566" t="s">
        <v>0</v>
      </c>
    </row>
    <row r="2567" spans="1:20" x14ac:dyDescent="0.25">
      <c r="A2567">
        <v>41800216</v>
      </c>
      <c r="B2567" t="s">
        <v>4</v>
      </c>
      <c r="C2567" t="s">
        <v>19</v>
      </c>
      <c r="D2567">
        <v>87</v>
      </c>
      <c r="E2567">
        <v>106</v>
      </c>
      <c r="F2567">
        <v>19</v>
      </c>
      <c r="G2567">
        <v>4</v>
      </c>
      <c r="H2567" s="1">
        <v>2.476851851851852E-3</v>
      </c>
      <c r="I2567" t="s">
        <v>2</v>
      </c>
      <c r="J2567" t="s">
        <v>1</v>
      </c>
      <c r="K2567" s="2" t="str">
        <f>HYPERLINK("https://www.nba.com/stats/events?CFID=&amp;CFPARAMS=&amp;GameEventID=626&amp;GameID=0041800216&amp;Season=2018-19&amp;flag=1&amp;title=Gasol%2019'%20Pullup%20Jump%20Shot%20(7%20PTS)%20(Leonard%205%20AST)", "Gasol 19' Pullup Jump Shot (7 PTS) (Leonard 5 AST)")</f>
        <v>Gasol 19' Pullup Jump Shot (7 PTS) (Leonard 5 AST)</v>
      </c>
      <c r="L2567" s="2" t="str">
        <f>HYPERLINK("https://www.nba.com/game/...-vs-...-0041800216/play-by-play?watchFullGame=true", "TOR vs PHI - Q4 03:34.00")</f>
        <v>TOR vs PHI - Q4 03:34.00</v>
      </c>
      <c r="M2567">
        <v>19</v>
      </c>
      <c r="N2567">
        <v>-105</v>
      </c>
      <c r="O2567">
        <v>154</v>
      </c>
      <c r="P2567">
        <v>-105</v>
      </c>
      <c r="Q2567">
        <v>154</v>
      </c>
      <c r="R2567" t="s">
        <v>0</v>
      </c>
      <c r="S2567" t="s">
        <v>0</v>
      </c>
      <c r="T2567" t="s">
        <v>0</v>
      </c>
    </row>
    <row r="2568" spans="1:20" x14ac:dyDescent="0.25">
      <c r="A2568">
        <v>21400069</v>
      </c>
      <c r="B2568" t="s">
        <v>4</v>
      </c>
      <c r="C2568" t="s">
        <v>5</v>
      </c>
      <c r="D2568">
        <v>35</v>
      </c>
      <c r="E2568">
        <v>53</v>
      </c>
      <c r="F2568">
        <v>18</v>
      </c>
      <c r="G2568">
        <v>3</v>
      </c>
      <c r="H2568" s="1">
        <v>6.1342592592592594E-3</v>
      </c>
      <c r="I2568">
        <v>2014</v>
      </c>
      <c r="J2568" t="s">
        <v>7</v>
      </c>
      <c r="K2568" s="2" t="str">
        <f>HYPERLINK("https://www.nba.com/stats/events?CFID=&amp;CFPARAMS=&amp;GameEventID=313&amp;GameID=0021400069&amp;Season=2014-15&amp;flag=1&amp;title=Green%201'%20Layup%20(7%20PTS)%20(Leonard%203%20AST)", "Green 1' Layup (7 PTS) (Leonard 3 AST)")</f>
        <v>Green 1' Layup (7 PTS) (Leonard 3 AST)</v>
      </c>
      <c r="L2568" s="2" t="str">
        <f>HYPERLINK("https://www.nba.com/game/...-vs-...-0021400069/play-by-play?watchFullGame=true", "SAS vs HOU - Q3 08:50.00")</f>
        <v>SAS vs HOU - Q3 08:50.00</v>
      </c>
      <c r="M2568">
        <v>1</v>
      </c>
      <c r="N2568">
        <v>7</v>
      </c>
      <c r="O2568">
        <v>-5</v>
      </c>
      <c r="P2568">
        <v>7</v>
      </c>
      <c r="Q2568">
        <v>-5</v>
      </c>
      <c r="R2568" t="s">
        <v>0</v>
      </c>
      <c r="S2568" t="s">
        <v>0</v>
      </c>
      <c r="T2568" t="s">
        <v>0</v>
      </c>
    </row>
    <row r="2569" spans="1:20" x14ac:dyDescent="0.25">
      <c r="A2569">
        <v>21400159</v>
      </c>
      <c r="B2569" t="s">
        <v>10</v>
      </c>
      <c r="C2569" t="s">
        <v>9</v>
      </c>
      <c r="D2569">
        <v>29</v>
      </c>
      <c r="E2569">
        <v>32</v>
      </c>
      <c r="F2569">
        <v>3</v>
      </c>
      <c r="G2569">
        <v>2</v>
      </c>
      <c r="H2569" s="1">
        <v>4.8379629629629632E-3</v>
      </c>
      <c r="I2569">
        <v>2014</v>
      </c>
      <c r="J2569" t="s">
        <v>7</v>
      </c>
      <c r="K2569" s="2" t="str">
        <f>HYPERLINK("https://www.nba.com/stats/events?CFID=&amp;CFPARAMS=&amp;GameEventID=177&amp;GameID=0021400159&amp;Season=2014-15&amp;flag=1&amp;title=Diaw%2024'%203PT%20Jump%20Shot%20(7%20PTS)%20(Leonard%201%20AST)", "Diaw 24' 3PT Jump Shot (7 PTS) (Leonard 1 AST)")</f>
        <v>Diaw 24' 3PT Jump Shot (7 PTS) (Leonard 1 AST)</v>
      </c>
      <c r="L2569" s="2" t="str">
        <f>HYPERLINK("https://www.nba.com/game/...-vs-...-0021400159/play-by-play?watchFullGame=true", "SAS vs CLE - Q2 06:58.00")</f>
        <v>SAS vs CLE - Q2 06:58.00</v>
      </c>
      <c r="M2569">
        <v>24</v>
      </c>
      <c r="N2569">
        <v>-147</v>
      </c>
      <c r="O2569">
        <v>194</v>
      </c>
      <c r="P2569">
        <v>-147</v>
      </c>
      <c r="Q2569">
        <v>194</v>
      </c>
      <c r="R2569" t="s">
        <v>0</v>
      </c>
      <c r="S2569" t="s">
        <v>0</v>
      </c>
      <c r="T2569" t="s">
        <v>0</v>
      </c>
    </row>
    <row r="2570" spans="1:20" x14ac:dyDescent="0.25">
      <c r="A2570">
        <v>21400249</v>
      </c>
      <c r="B2570" t="s">
        <v>10</v>
      </c>
      <c r="C2570" t="s">
        <v>9</v>
      </c>
      <c r="D2570">
        <v>45</v>
      </c>
      <c r="E2570">
        <v>25</v>
      </c>
      <c r="F2570">
        <v>20</v>
      </c>
      <c r="G2570">
        <v>2</v>
      </c>
      <c r="H2570" s="1">
        <v>5.0694444444444441E-3</v>
      </c>
      <c r="I2570">
        <v>2014</v>
      </c>
      <c r="J2570" t="s">
        <v>7</v>
      </c>
      <c r="K2570" s="2" t="str">
        <f>HYPERLINK("https://www.nba.com/stats/events?CFID=&amp;CFPARAMS=&amp;GameEventID=189&amp;GameID=0021400249&amp;Season=2014-15&amp;flag=1&amp;title=Belinelli%2025'%203PT%20Jump%20Shot%20(7%20PTS)%20(Leonard%203%20AST)", "Belinelli 25' 3PT Jump Shot (7 PTS) (Leonard 3 AST)")</f>
        <v>Belinelli 25' 3PT Jump Shot (7 PTS) (Leonard 3 AST)</v>
      </c>
      <c r="L2570" s="2" t="str">
        <f>HYPERLINK("https://www.nba.com/game/...-vs-...-0021400249/play-by-play?watchFullGame=true", "SAS vs PHI - Q2 07:18.00")</f>
        <v>SAS vs PHI - Q2 07:18.00</v>
      </c>
      <c r="M2570">
        <v>25</v>
      </c>
      <c r="N2570">
        <v>171</v>
      </c>
      <c r="O2570">
        <v>179</v>
      </c>
      <c r="P2570">
        <v>171</v>
      </c>
      <c r="Q2570">
        <v>179</v>
      </c>
      <c r="R2570" t="s">
        <v>0</v>
      </c>
      <c r="S2570" t="s">
        <v>0</v>
      </c>
      <c r="T2570" t="s">
        <v>0</v>
      </c>
    </row>
    <row r="2571" spans="1:20" x14ac:dyDescent="0.25">
      <c r="A2571">
        <v>21400583</v>
      </c>
      <c r="B2571" t="s">
        <v>4</v>
      </c>
      <c r="C2571" t="s">
        <v>9</v>
      </c>
      <c r="D2571">
        <v>44</v>
      </c>
      <c r="E2571">
        <v>46</v>
      </c>
      <c r="F2571">
        <v>2</v>
      </c>
      <c r="G2571">
        <v>2</v>
      </c>
      <c r="H2571" s="1">
        <v>1.6666666666666668E-3</v>
      </c>
      <c r="I2571">
        <v>2014</v>
      </c>
      <c r="J2571" t="s">
        <v>12</v>
      </c>
      <c r="K2571" s="2" t="str">
        <f>HYPERLINK("https://www.nba.com/stats/events?CFID=&amp;CFPARAMS=&amp;GameEventID=195&amp;GameID=0021400583&amp;Season=2014-15&amp;flag=1&amp;title=Aldridge%2020'%20Jump%20Shot%20(22%20PTS)%20(Leonard%202%20AST)", "Aldridge 20' Jump Shot (22 PTS) (Leonard 2 AST)")</f>
        <v>Aldridge 20' Jump Shot (22 PTS) (Leonard 2 AST)</v>
      </c>
      <c r="L2571" s="2" t="str">
        <f>HYPERLINK("https://www.nba.com/game/...-vs-...-0021400583/play-by-play?watchFullGame=true", "POR vs LAC - Q2 02:24.00")</f>
        <v>POR vs LAC - Q2 02:24.00</v>
      </c>
      <c r="M2571">
        <v>20</v>
      </c>
      <c r="N2571">
        <v>-201</v>
      </c>
      <c r="O2571">
        <v>4</v>
      </c>
      <c r="P2571">
        <v>-201</v>
      </c>
      <c r="Q2571">
        <v>4</v>
      </c>
      <c r="R2571" t="s">
        <v>0</v>
      </c>
      <c r="S2571" t="s">
        <v>0</v>
      </c>
      <c r="T2571" t="s">
        <v>0</v>
      </c>
    </row>
    <row r="2572" spans="1:20" x14ac:dyDescent="0.25">
      <c r="A2572">
        <v>21400595</v>
      </c>
      <c r="B2572" t="s">
        <v>4</v>
      </c>
      <c r="C2572" t="s">
        <v>5</v>
      </c>
      <c r="D2572">
        <v>45</v>
      </c>
      <c r="E2572">
        <v>37</v>
      </c>
      <c r="F2572">
        <v>8</v>
      </c>
      <c r="G2572">
        <v>2</v>
      </c>
      <c r="H2572" s="1">
        <v>4.5023148148148149E-3</v>
      </c>
      <c r="I2572">
        <v>2014</v>
      </c>
      <c r="J2572" t="s">
        <v>7</v>
      </c>
      <c r="K2572" s="2" t="str">
        <f>HYPERLINK("https://www.nba.com/stats/events?CFID=&amp;CFPARAMS=&amp;GameEventID=175&amp;GameID=0021400595&amp;Season=2014-15&amp;flag=1&amp;title=Parker%202'%20Layup%20(9%20PTS)%20(Leonard%202%20AST)", "Parker 2' Layup (9 PTS) (Leonard 2 AST)")</f>
        <v>Parker 2' Layup (9 PTS) (Leonard 2 AST)</v>
      </c>
      <c r="L2572" s="2" t="str">
        <f>HYPERLINK("https://www.nba.com/game/...-vs-...-0021400595/play-by-play?watchFullGame=true", "SAS vs POR - Q2 06:29.00")</f>
        <v>SAS vs POR - Q2 06:29.00</v>
      </c>
      <c r="M2572">
        <v>2</v>
      </c>
      <c r="N2572">
        <v>-15</v>
      </c>
      <c r="O2572">
        <v>9</v>
      </c>
      <c r="P2572">
        <v>-15</v>
      </c>
      <c r="Q2572">
        <v>9</v>
      </c>
      <c r="R2572" t="s">
        <v>0</v>
      </c>
      <c r="S2572" t="s">
        <v>0</v>
      </c>
      <c r="T2572" t="s">
        <v>0</v>
      </c>
    </row>
    <row r="2573" spans="1:20" x14ac:dyDescent="0.25">
      <c r="A2573">
        <v>21400624</v>
      </c>
      <c r="B2573" t="s">
        <v>4</v>
      </c>
      <c r="C2573" t="s">
        <v>9</v>
      </c>
      <c r="D2573">
        <v>31</v>
      </c>
      <c r="E2573">
        <v>29</v>
      </c>
      <c r="F2573">
        <v>2</v>
      </c>
      <c r="G2573">
        <v>2</v>
      </c>
      <c r="H2573" s="1">
        <v>5.7060185185185183E-3</v>
      </c>
      <c r="I2573">
        <v>2014</v>
      </c>
      <c r="J2573" t="s">
        <v>7</v>
      </c>
      <c r="K2573" s="2" t="str">
        <f>HYPERLINK("https://www.nba.com/stats/events?CFID=&amp;CFPARAMS=&amp;GameEventID=166&amp;GameID=0021400624&amp;Season=2014-15&amp;flag=1&amp;title=Parker%2018'%20Jump%20Shot%20(6%20PTS)%20(Leonard%203%20AST)", "Parker 18' Jump Shot (6 PTS) (Leonard 3 AST)")</f>
        <v>Parker 18' Jump Shot (6 PTS) (Leonard 3 AST)</v>
      </c>
      <c r="L2573" s="2" t="str">
        <f>HYPERLINK("https://www.nba.com/game/...-vs-...-0021400624/play-by-play?watchFullGame=true", "SAS vs DEN - Q2 08:13.00")</f>
        <v>SAS vs DEN - Q2 08:13.00</v>
      </c>
      <c r="M2573">
        <v>18</v>
      </c>
      <c r="N2573">
        <v>160</v>
      </c>
      <c r="O2573">
        <v>85</v>
      </c>
      <c r="P2573">
        <v>160</v>
      </c>
      <c r="Q2573">
        <v>85</v>
      </c>
      <c r="R2573" t="s">
        <v>0</v>
      </c>
      <c r="S2573" t="s">
        <v>0</v>
      </c>
      <c r="T2573" t="s">
        <v>0</v>
      </c>
    </row>
    <row r="2574" spans="1:20" x14ac:dyDescent="0.25">
      <c r="A2574">
        <v>21400689</v>
      </c>
      <c r="B2574" t="s">
        <v>10</v>
      </c>
      <c r="C2574" t="s">
        <v>9</v>
      </c>
      <c r="D2574">
        <v>64</v>
      </c>
      <c r="E2574">
        <v>53</v>
      </c>
      <c r="F2574">
        <v>11</v>
      </c>
      <c r="G2574">
        <v>3</v>
      </c>
      <c r="H2574" s="1">
        <v>5.0694444444444441E-3</v>
      </c>
      <c r="I2574">
        <v>2014</v>
      </c>
      <c r="J2574" t="s">
        <v>7</v>
      </c>
      <c r="K2574" s="2" t="str">
        <f>HYPERLINK("https://www.nba.com/stats/events?CFID=&amp;CFPARAMS=&amp;GameEventID=271&amp;GameID=0021400689&amp;Season=2014-15&amp;flag=1&amp;title=Bonner%2025'%203PT%20Jump%20Shot%20(5%20PTS)%20(Leonard%203%20AST)", "Bonner 25' 3PT Jump Shot (5 PTS) (Leonard 3 AST)")</f>
        <v>Bonner 25' 3PT Jump Shot (5 PTS) (Leonard 3 AST)</v>
      </c>
      <c r="L2574" s="2" t="str">
        <f>HYPERLINK("https://www.nba.com/game/...-vs-...-0021400689/play-by-play?watchFullGame=true", "SAS vs CHA - Q3 07:18.00")</f>
        <v>SAS vs CHA - Q3 07:18.00</v>
      </c>
      <c r="M2574">
        <v>25</v>
      </c>
      <c r="N2574">
        <v>102</v>
      </c>
      <c r="O2574">
        <v>231</v>
      </c>
      <c r="P2574">
        <v>102</v>
      </c>
      <c r="Q2574">
        <v>231</v>
      </c>
      <c r="R2574" t="s">
        <v>0</v>
      </c>
      <c r="S2574" t="s">
        <v>0</v>
      </c>
      <c r="T2574" t="s">
        <v>0</v>
      </c>
    </row>
    <row r="2575" spans="1:20" x14ac:dyDescent="0.25">
      <c r="A2575">
        <v>21400853</v>
      </c>
      <c r="B2575" t="s">
        <v>4</v>
      </c>
      <c r="C2575" t="s">
        <v>23</v>
      </c>
      <c r="D2575">
        <v>39</v>
      </c>
      <c r="E2575">
        <v>24</v>
      </c>
      <c r="F2575">
        <v>15</v>
      </c>
      <c r="G2575">
        <v>2</v>
      </c>
      <c r="H2575" s="1">
        <v>5.9953703703703705E-3</v>
      </c>
      <c r="I2575">
        <v>2014</v>
      </c>
      <c r="J2575" t="s">
        <v>12</v>
      </c>
      <c r="K2575" s="2" t="str">
        <f>HYPERLINK("https://www.nba.com/stats/events?CFID=&amp;CFPARAMS=&amp;GameEventID=124&amp;GameID=0021400853&amp;Season=2014-15&amp;flag=1&amp;title=Matthews%201'%20Driving%20Layup%20(10%20PTS)%20(Leonard%201%20AST)", "Matthews 1' Driving Layup (10 PTS) (Leonard 1 AST)")</f>
        <v>Matthews 1' Driving Layup (10 PTS) (Leonard 1 AST)</v>
      </c>
      <c r="L2575" s="2" t="str">
        <f>HYPERLINK("https://www.nba.com/game/...-vs-...-0021400853/play-by-play?watchFullGame=true", "POR vs SAS - Q2 08:38.00")</f>
        <v>POR vs SAS - Q2 08:38.00</v>
      </c>
      <c r="M2575">
        <v>1</v>
      </c>
      <c r="N2575">
        <v>10</v>
      </c>
      <c r="O2575">
        <v>9</v>
      </c>
      <c r="P2575">
        <v>10</v>
      </c>
      <c r="Q2575">
        <v>9</v>
      </c>
      <c r="R2575" t="s">
        <v>0</v>
      </c>
      <c r="S2575" t="s">
        <v>0</v>
      </c>
      <c r="T2575" t="s">
        <v>0</v>
      </c>
    </row>
    <row r="2576" spans="1:20" x14ac:dyDescent="0.25">
      <c r="A2576">
        <v>41300143</v>
      </c>
      <c r="B2576" t="s">
        <v>4</v>
      </c>
      <c r="C2576" t="s">
        <v>22</v>
      </c>
      <c r="D2576">
        <v>56</v>
      </c>
      <c r="E2576">
        <v>59</v>
      </c>
      <c r="F2576">
        <v>3</v>
      </c>
      <c r="G2576">
        <v>3</v>
      </c>
      <c r="H2576" s="1">
        <v>8.1365740740740738E-3</v>
      </c>
      <c r="I2576" t="s">
        <v>15</v>
      </c>
      <c r="J2576" t="s">
        <v>7</v>
      </c>
      <c r="K2576" s="2" t="str">
        <f>HYPERLINK("https://www.nba.com/stats/events?CFID=&amp;CFPARAMS=&amp;GameEventID=217&amp;GameID=0041300143&amp;Season=2013-14&amp;flag=1&amp;title=Duncan%2016'%20Jump%20Bank%20Shot%20(14%20PTS)%20(Leonard%202%20AST)", "Duncan 16' Jump Bank Shot (14 PTS) (Leonard 2 AST)")</f>
        <v>Duncan 16' Jump Bank Shot (14 PTS) (Leonard 2 AST)</v>
      </c>
      <c r="L2576" s="2" t="str">
        <f>HYPERLINK("https://www.nba.com/game/...-vs-...-0041300143/play-by-play?watchFullGame=true", "SAS vs DAL - Q3 11:43.00")</f>
        <v>SAS vs DAL - Q3 11:43.00</v>
      </c>
      <c r="M2576">
        <v>16</v>
      </c>
      <c r="N2576">
        <v>-146</v>
      </c>
      <c r="O2576">
        <v>63</v>
      </c>
      <c r="P2576">
        <v>-146</v>
      </c>
      <c r="Q2576">
        <v>63</v>
      </c>
      <c r="R2576" t="s">
        <v>0</v>
      </c>
      <c r="S2576" t="s">
        <v>0</v>
      </c>
      <c r="T2576" t="s">
        <v>0</v>
      </c>
    </row>
    <row r="2577" spans="1:20" x14ac:dyDescent="0.25">
      <c r="A2577">
        <v>41300225</v>
      </c>
      <c r="B2577" t="s">
        <v>4</v>
      </c>
      <c r="C2577" t="s">
        <v>9</v>
      </c>
      <c r="D2577">
        <v>73</v>
      </c>
      <c r="E2577">
        <v>54</v>
      </c>
      <c r="F2577">
        <v>19</v>
      </c>
      <c r="G2577">
        <v>3</v>
      </c>
      <c r="H2577" s="1">
        <v>3.7499999999999999E-3</v>
      </c>
      <c r="I2577" t="s">
        <v>15</v>
      </c>
      <c r="J2577" t="s">
        <v>7</v>
      </c>
      <c r="K2577" s="2" t="str">
        <f>HYPERLINK("https://www.nba.com/stats/events?CFID=&amp;CFPARAMS=&amp;GameEventID=308&amp;GameID=0041300225&amp;Season=2013-14&amp;flag=1&amp;title=Duncan%2018'%20Jump%20Shot%20(16%20PTS)%20(Leonard%202%20AST)", "Duncan 18' Jump Shot (16 PTS) (Leonard 2 AST)")</f>
        <v>Duncan 18' Jump Shot (16 PTS) (Leonard 2 AST)</v>
      </c>
      <c r="L2577" s="2" t="str">
        <f>HYPERLINK("https://www.nba.com/game/...-vs-...-0041300225/play-by-play?watchFullGame=true", "SAS vs POR - Q3 05:24.00")</f>
        <v>SAS vs POR - Q3 05:24.00</v>
      </c>
      <c r="M2577">
        <v>18</v>
      </c>
      <c r="N2577">
        <v>17</v>
      </c>
      <c r="O2577">
        <v>181</v>
      </c>
      <c r="P2577">
        <v>17</v>
      </c>
      <c r="Q2577">
        <v>181</v>
      </c>
      <c r="R2577" t="s">
        <v>0</v>
      </c>
      <c r="S2577" t="s">
        <v>0</v>
      </c>
      <c r="T2577" t="s">
        <v>0</v>
      </c>
    </row>
    <row r="2578" spans="1:20" x14ac:dyDescent="0.25">
      <c r="A2578">
        <v>41400164</v>
      </c>
      <c r="B2578" t="s">
        <v>10</v>
      </c>
      <c r="C2578" t="s">
        <v>9</v>
      </c>
      <c r="D2578">
        <v>21</v>
      </c>
      <c r="E2578">
        <v>23</v>
      </c>
      <c r="F2578">
        <v>2</v>
      </c>
      <c r="G2578">
        <v>1</v>
      </c>
      <c r="H2578" s="1">
        <v>1.4467592592592592E-3</v>
      </c>
      <c r="I2578" t="s">
        <v>13</v>
      </c>
      <c r="J2578" t="s">
        <v>7</v>
      </c>
      <c r="K2578" s="2" t="str">
        <f>HYPERLINK("https://www.nba.com/stats/events?CFID=&amp;CFPARAMS=&amp;GameEventID=92&amp;GameID=0041400164&amp;Season=2014-15&amp;flag=1&amp;title=Ginobili%20%203PT%20Jump%20Shot%20(3%20PTS)%20(Leonard%201%20AST)", "Ginobili  3PT Jump Shot (3 PTS) (Leonard 1 AST)")</f>
        <v>Ginobili  3PT Jump Shot (3 PTS) (Leonard 1 AST)</v>
      </c>
      <c r="L2578" s="2" t="str">
        <f>HYPERLINK("https://www.nba.com/game/...-vs-...-0041400164/play-by-play?watchFullGame=true", "SAS vs LAC - Q1 02:05.00")</f>
        <v>SAS vs LAC - Q1 02:05.00</v>
      </c>
      <c r="M2578">
        <v>0</v>
      </c>
      <c r="N2578">
        <v>-226</v>
      </c>
      <c r="O2578">
        <v>-10</v>
      </c>
      <c r="P2578">
        <v>-226</v>
      </c>
      <c r="Q2578">
        <v>-10</v>
      </c>
      <c r="R2578" t="s">
        <v>0</v>
      </c>
      <c r="S2578" t="s">
        <v>0</v>
      </c>
      <c r="T2578" t="s">
        <v>0</v>
      </c>
    </row>
    <row r="2579" spans="1:20" x14ac:dyDescent="0.25">
      <c r="A2579">
        <v>41500234</v>
      </c>
      <c r="B2579" t="s">
        <v>4</v>
      </c>
      <c r="C2579" t="s">
        <v>25</v>
      </c>
      <c r="D2579">
        <v>71</v>
      </c>
      <c r="E2579">
        <v>69</v>
      </c>
      <c r="F2579">
        <v>2</v>
      </c>
      <c r="G2579">
        <v>3</v>
      </c>
      <c r="H2579" s="1">
        <v>1.8171296296296297E-3</v>
      </c>
      <c r="I2579" t="s">
        <v>11</v>
      </c>
      <c r="J2579" t="s">
        <v>7</v>
      </c>
      <c r="K2579" s="2" t="str">
        <f>HYPERLINK("https://www.nba.com/stats/events?CFID=&amp;CFPARAMS=&amp;GameEventID=363&amp;GameID=0041500234&amp;Season=2015-16&amp;flag=1&amp;title=Mills%201'%20Running%20Finger%20Roll%20Layup%20(2%20PTS)%20(Leonard%201%20AST)", "Mills 1' Running Finger Roll Layup (2 PTS) (Leonard 1 AST)")</f>
        <v>Mills 1' Running Finger Roll Layup (2 PTS) (Leonard 1 AST)</v>
      </c>
      <c r="L2579" s="2" t="str">
        <f>HYPERLINK("https://www.nba.com/game/...-vs-...-0041500234/play-by-play?watchFullGame=true", "SAS vs OKC - Q3 02:37.00")</f>
        <v>SAS vs OKC - Q3 02:37.00</v>
      </c>
      <c r="M2579">
        <v>1</v>
      </c>
      <c r="N2579">
        <v>-1</v>
      </c>
      <c r="O2579">
        <v>11</v>
      </c>
      <c r="P2579">
        <v>-1</v>
      </c>
      <c r="Q2579">
        <v>11</v>
      </c>
      <c r="R2579" t="s">
        <v>0</v>
      </c>
      <c r="S2579" t="s">
        <v>0</v>
      </c>
      <c r="T2579" t="s">
        <v>0</v>
      </c>
    </row>
    <row r="2580" spans="1:20" x14ac:dyDescent="0.25">
      <c r="A2580">
        <v>41500236</v>
      </c>
      <c r="B2580" t="s">
        <v>4</v>
      </c>
      <c r="C2580" t="s">
        <v>9</v>
      </c>
      <c r="D2580">
        <v>90</v>
      </c>
      <c r="E2580">
        <v>101</v>
      </c>
      <c r="F2580">
        <v>11</v>
      </c>
      <c r="G2580">
        <v>4</v>
      </c>
      <c r="H2580" s="1">
        <v>1.9560185185185184E-3</v>
      </c>
      <c r="I2580" t="s">
        <v>11</v>
      </c>
      <c r="J2580" t="s">
        <v>7</v>
      </c>
      <c r="K2580" s="2" t="str">
        <f>HYPERLINK("https://www.nba.com/stats/events?CFID=&amp;CFPARAMS=&amp;GameEventID=495&amp;GameID=0041500236&amp;Season=2015-16&amp;flag=1&amp;title=West%2017'%20Jump%20Shot%20(2%20PTS)%20(Leonard%205%20AST)", "West 17' Jump Shot (2 PTS) (Leonard 5 AST)")</f>
        <v>West 17' Jump Shot (2 PTS) (Leonard 5 AST)</v>
      </c>
      <c r="L2580" s="2" t="str">
        <f>HYPERLINK("https://www.nba.com/game/...-vs-...-0041500236/play-by-play?watchFullGame=true", "SAS vs OKC - Q4 02:49.00")</f>
        <v>SAS vs OKC - Q4 02:49.00</v>
      </c>
      <c r="M2580">
        <v>17</v>
      </c>
      <c r="N2580">
        <v>1</v>
      </c>
      <c r="O2580">
        <v>169</v>
      </c>
      <c r="P2580">
        <v>1</v>
      </c>
      <c r="Q2580">
        <v>169</v>
      </c>
      <c r="R2580" t="s">
        <v>0</v>
      </c>
      <c r="S2580" t="s">
        <v>0</v>
      </c>
      <c r="T2580" t="s">
        <v>0</v>
      </c>
    </row>
    <row r="2581" spans="1:20" x14ac:dyDescent="0.25">
      <c r="A2581">
        <v>41600156</v>
      </c>
      <c r="B2581" t="s">
        <v>4</v>
      </c>
      <c r="C2581" t="s">
        <v>9</v>
      </c>
      <c r="D2581">
        <v>96</v>
      </c>
      <c r="E2581">
        <v>92</v>
      </c>
      <c r="F2581">
        <v>4</v>
      </c>
      <c r="G2581">
        <v>4</v>
      </c>
      <c r="H2581" s="1">
        <v>1.1689814814814816E-3</v>
      </c>
      <c r="I2581" t="s">
        <v>8</v>
      </c>
      <c r="J2581" t="s">
        <v>7</v>
      </c>
      <c r="K2581" s="2" t="str">
        <f>HYPERLINK("https://www.nba.com/stats/events?CFID=&amp;CFPARAMS=&amp;GameEventID=447&amp;GameID=0041600156&amp;Season=2016-17&amp;flag=1&amp;title=Parker%2022'%20Jump%20Shot%20(23%20PTS)%20(Leonard%203%20AST)", "Parker 22' Jump Shot (23 PTS) (Leonard 3 AST)")</f>
        <v>Parker 22' Jump Shot (23 PTS) (Leonard 3 AST)</v>
      </c>
      <c r="L2581" s="2" t="str">
        <f>HYPERLINK("https://www.nba.com/game/...-vs-...-0041600156/play-by-play?watchFullGame=true", "SAS vs MEM - Q4 01:41.00")</f>
        <v>SAS vs MEM - Q4 01:41.00</v>
      </c>
      <c r="M2581">
        <v>22</v>
      </c>
      <c r="N2581">
        <v>89</v>
      </c>
      <c r="O2581">
        <v>205</v>
      </c>
      <c r="P2581">
        <v>89</v>
      </c>
      <c r="Q2581">
        <v>205</v>
      </c>
      <c r="R2581" t="s">
        <v>0</v>
      </c>
      <c r="S2581" t="s">
        <v>0</v>
      </c>
      <c r="T2581" t="s">
        <v>0</v>
      </c>
    </row>
    <row r="2582" spans="1:20" x14ac:dyDescent="0.25">
      <c r="A2582">
        <v>41600233</v>
      </c>
      <c r="B2582" t="s">
        <v>10</v>
      </c>
      <c r="C2582" t="s">
        <v>9</v>
      </c>
      <c r="D2582">
        <v>5</v>
      </c>
      <c r="E2582">
        <v>3</v>
      </c>
      <c r="F2582">
        <v>2</v>
      </c>
      <c r="G2582">
        <v>1</v>
      </c>
      <c r="H2582" s="1">
        <v>6.9675925925925929E-3</v>
      </c>
      <c r="I2582" t="s">
        <v>8</v>
      </c>
      <c r="J2582" t="s">
        <v>7</v>
      </c>
      <c r="K2582" s="2" t="str">
        <f>HYPERLINK("https://www.nba.com/stats/events?CFID=&amp;CFPARAMS=&amp;GameEventID=22&amp;GameID=0041600233&amp;Season=2016-17&amp;flag=1&amp;title=Gasol%2025'%203PT%20Jump%20Shot%20(3%20PTS)%20(Leonard%201%20AST)", "Gasol 25' 3PT Jump Shot (3 PTS) (Leonard 1 AST)")</f>
        <v>Gasol 25' 3PT Jump Shot (3 PTS) (Leonard 1 AST)</v>
      </c>
      <c r="L2582" s="2" t="str">
        <f>HYPERLINK("https://www.nba.com/game/...-vs-...-0041600233/play-by-play?watchFullGame=true", "SAS vs HOU - Q1 10:02.00")</f>
        <v>SAS vs HOU - Q1 10:02.00</v>
      </c>
      <c r="M2582">
        <v>25</v>
      </c>
      <c r="N2582">
        <v>-7</v>
      </c>
      <c r="O2582">
        <v>249</v>
      </c>
      <c r="P2582">
        <v>-7</v>
      </c>
      <c r="Q2582">
        <v>249</v>
      </c>
      <c r="R2582" t="s">
        <v>0</v>
      </c>
      <c r="S2582" t="s">
        <v>0</v>
      </c>
      <c r="T2582" t="s">
        <v>0</v>
      </c>
    </row>
    <row r="2583" spans="1:20" x14ac:dyDescent="0.25">
      <c r="A2583">
        <v>41600234</v>
      </c>
      <c r="B2583" t="s">
        <v>10</v>
      </c>
      <c r="C2583" t="s">
        <v>9</v>
      </c>
      <c r="D2583">
        <v>45</v>
      </c>
      <c r="E2583">
        <v>50</v>
      </c>
      <c r="F2583">
        <v>5</v>
      </c>
      <c r="G2583">
        <v>2</v>
      </c>
      <c r="H2583" s="1">
        <v>2.1875000000000002E-3</v>
      </c>
      <c r="I2583" t="s">
        <v>8</v>
      </c>
      <c r="J2583" t="s">
        <v>7</v>
      </c>
      <c r="K2583" s="2" t="str">
        <f>HYPERLINK("https://www.nba.com/stats/events?CFID=&amp;CFPARAMS=&amp;GameEventID=239&amp;GameID=0041600234&amp;Season=2016-17&amp;flag=1&amp;title=Mills%2025'%203PT%20Jump%20Shot%20(6%20PTS)%20(Leonard%203%20AST)", "Mills 25' 3PT Jump Shot (6 PTS) (Leonard 3 AST)")</f>
        <v>Mills 25' 3PT Jump Shot (6 PTS) (Leonard 3 AST)</v>
      </c>
      <c r="L2583" s="2" t="str">
        <f>HYPERLINK("https://www.nba.com/game/...-vs-...-0041600234/play-by-play?watchFullGame=true", "SAS vs HOU - Q2 03:09.00")</f>
        <v>SAS vs HOU - Q2 03:09.00</v>
      </c>
      <c r="M2583">
        <v>25</v>
      </c>
      <c r="N2583">
        <v>61</v>
      </c>
      <c r="O2583">
        <v>239</v>
      </c>
      <c r="P2583">
        <v>61</v>
      </c>
      <c r="Q2583">
        <v>239</v>
      </c>
      <c r="R2583" t="s">
        <v>0</v>
      </c>
      <c r="S2583" t="s">
        <v>0</v>
      </c>
      <c r="T2583" t="s">
        <v>0</v>
      </c>
    </row>
    <row r="2584" spans="1:20" x14ac:dyDescent="0.25">
      <c r="A2584">
        <v>41800217</v>
      </c>
      <c r="B2584" t="s">
        <v>4</v>
      </c>
      <c r="C2584" t="s">
        <v>16</v>
      </c>
      <c r="D2584">
        <v>14</v>
      </c>
      <c r="E2584">
        <v>7</v>
      </c>
      <c r="F2584">
        <v>7</v>
      </c>
      <c r="G2584">
        <v>1</v>
      </c>
      <c r="H2584" s="1">
        <v>2.7430555555555554E-3</v>
      </c>
      <c r="I2584" t="s">
        <v>2</v>
      </c>
      <c r="J2584" t="s">
        <v>1</v>
      </c>
      <c r="K2584" s="2" t="str">
        <f>HYPERLINK("https://www.nba.com/stats/events?CFID=&amp;CFPARAMS=&amp;GameEventID=103&amp;GameID=0041800217&amp;Season=2018-19&amp;flag=1&amp;title=Green%201'%20Running%20Dunk%20(2%20PTS)%20(Leonard%201%20AST)", "Green 1' Running Dunk (2 PTS) (Leonard 1 AST)")</f>
        <v>Green 1' Running Dunk (2 PTS) (Leonard 1 AST)</v>
      </c>
      <c r="L2584" s="2" t="str">
        <f>HYPERLINK("https://www.nba.com/game/...-vs-...-0041800217/play-by-play?watchFullGame=true", "TOR vs PHI - Q1 03:57.00")</f>
        <v>TOR vs PHI - Q1 03:57.00</v>
      </c>
      <c r="M2584">
        <v>1</v>
      </c>
      <c r="N2584">
        <v>-8</v>
      </c>
      <c r="O2584">
        <v>3</v>
      </c>
      <c r="P2584">
        <v>-8</v>
      </c>
      <c r="Q2584">
        <v>3</v>
      </c>
      <c r="R2584" t="s">
        <v>0</v>
      </c>
      <c r="S2584" t="s">
        <v>0</v>
      </c>
      <c r="T2584" t="s">
        <v>0</v>
      </c>
    </row>
    <row r="2585" spans="1:20" x14ac:dyDescent="0.25">
      <c r="A2585">
        <v>41800115</v>
      </c>
      <c r="B2585" t="s">
        <v>4</v>
      </c>
      <c r="C2585" t="s">
        <v>5</v>
      </c>
      <c r="D2585">
        <v>7</v>
      </c>
      <c r="E2585">
        <v>1</v>
      </c>
      <c r="F2585">
        <v>6</v>
      </c>
      <c r="G2585">
        <v>1</v>
      </c>
      <c r="H2585" s="1">
        <v>7.0717592592592594E-3</v>
      </c>
      <c r="I2585" t="s">
        <v>2</v>
      </c>
      <c r="J2585" t="s">
        <v>1</v>
      </c>
      <c r="K2585" s="2" t="str">
        <f>HYPERLINK("https://www.nba.com/stats/events?CFID=&amp;CFPARAMS=&amp;GameEventID=23&amp;GameID=0041800115&amp;Season=2018-19&amp;flag=1&amp;title=Lowry%203'%20Layup%20(7%20PTS)%20(Leonard%201%20AST)", "Lowry 3' Layup (7 PTS) (Leonard 1 AST)")</f>
        <v>Lowry 3' Layup (7 PTS) (Leonard 1 AST)</v>
      </c>
      <c r="L2585" s="2" t="str">
        <f>HYPERLINK("https://www.nba.com/game/...-vs-...-0041800115/play-by-play?watchFullGame=true", "TOR vs ORL - Q1 10:11.00")</f>
        <v>TOR vs ORL - Q1 10:11.00</v>
      </c>
      <c r="M2585">
        <v>3</v>
      </c>
      <c r="N2585">
        <v>-22</v>
      </c>
      <c r="O2585">
        <v>17</v>
      </c>
      <c r="P2585">
        <v>-22</v>
      </c>
      <c r="Q2585">
        <v>17</v>
      </c>
      <c r="R2585" t="s">
        <v>0</v>
      </c>
      <c r="S2585" t="s">
        <v>0</v>
      </c>
      <c r="T2585" t="s">
        <v>0</v>
      </c>
    </row>
    <row r="2586" spans="1:20" x14ac:dyDescent="0.25">
      <c r="A2586">
        <v>41800212</v>
      </c>
      <c r="B2586" t="s">
        <v>10</v>
      </c>
      <c r="C2586" t="s">
        <v>9</v>
      </c>
      <c r="D2586">
        <v>81</v>
      </c>
      <c r="E2586">
        <v>85</v>
      </c>
      <c r="F2586">
        <v>4</v>
      </c>
      <c r="G2586">
        <v>4</v>
      </c>
      <c r="H2586" s="1">
        <v>1.8634259259259259E-3</v>
      </c>
      <c r="I2586" t="s">
        <v>2</v>
      </c>
      <c r="J2586" t="s">
        <v>1</v>
      </c>
      <c r="K2586" s="2" t="str">
        <f>HYPERLINK("https://www.nba.com/stats/events?CFID=&amp;CFPARAMS=&amp;GameEventID=617&amp;GameID=0041800212&amp;Season=2018-19&amp;flag=1&amp;title=Siakam%203PT%20Jump%20Shot%20(19%20PTS)%20(Leonard%205%20AST)", "Siakam 3PT Jump Shot (19 PTS) (Leonard 5 AST)")</f>
        <v>Siakam 3PT Jump Shot (19 PTS) (Leonard 5 AST)</v>
      </c>
      <c r="L2586" s="2" t="str">
        <f>HYPERLINK("https://www.nba.com/game/...-vs-...-0041800212/play-by-play?watchFullGame=true", "TOR vs PHI - Q4 02:41.00")</f>
        <v>TOR vs PHI - Q4 02:41.00</v>
      </c>
      <c r="M2586">
        <v>0</v>
      </c>
      <c r="N2586">
        <v>223</v>
      </c>
      <c r="O2586">
        <v>17</v>
      </c>
      <c r="P2586">
        <v>223</v>
      </c>
      <c r="Q2586">
        <v>17</v>
      </c>
      <c r="R2586" t="s">
        <v>0</v>
      </c>
      <c r="S2586" t="s">
        <v>0</v>
      </c>
      <c r="T2586" t="s">
        <v>0</v>
      </c>
    </row>
    <row r="2587" spans="1:20" x14ac:dyDescent="0.25">
      <c r="A2587">
        <v>41800306</v>
      </c>
      <c r="B2587" t="s">
        <v>4</v>
      </c>
      <c r="C2587" t="s">
        <v>18</v>
      </c>
      <c r="D2587">
        <v>68</v>
      </c>
      <c r="E2587">
        <v>76</v>
      </c>
      <c r="F2587">
        <v>8</v>
      </c>
      <c r="G2587">
        <v>3</v>
      </c>
      <c r="H2587" s="1">
        <v>6.4699074074074073E-4</v>
      </c>
      <c r="I2587" t="s">
        <v>2</v>
      </c>
      <c r="J2587" t="s">
        <v>1</v>
      </c>
      <c r="K2587" s="2" t="str">
        <f>HYPERLINK("https://www.nba.com/stats/events?CFID=&amp;CFPARAMS=&amp;GameEventID=479&amp;GameID=0041800306&amp;Season=2018-19&amp;flag=1&amp;title=Ibaka%203'%20Hook%20Shot%20(5%20PTS)%20(Leonard%206%20AST)", "Ibaka 3' Hook Shot (5 PTS) (Leonard 6 AST)")</f>
        <v>Ibaka 3' Hook Shot (5 PTS) (Leonard 6 AST)</v>
      </c>
      <c r="L2587" s="2" t="str">
        <f>HYPERLINK("https://www.nba.com/game/...-vs-...-0041800306/play-by-play?watchFullGame=true", "TOR vs MIL - Q3 00:55.90")</f>
        <v>TOR vs MIL - Q3 00:55.90</v>
      </c>
      <c r="M2587">
        <v>3</v>
      </c>
      <c r="N2587">
        <v>3</v>
      </c>
      <c r="O2587">
        <v>27</v>
      </c>
      <c r="P2587">
        <v>3</v>
      </c>
      <c r="Q2587">
        <v>27</v>
      </c>
      <c r="R2587" t="s">
        <v>0</v>
      </c>
      <c r="S2587" t="s">
        <v>0</v>
      </c>
      <c r="T2587" t="s">
        <v>0</v>
      </c>
    </row>
    <row r="2588" spans="1:20" x14ac:dyDescent="0.25">
      <c r="A2588">
        <v>41800306</v>
      </c>
      <c r="B2588" t="s">
        <v>10</v>
      </c>
      <c r="C2588" t="s">
        <v>9</v>
      </c>
      <c r="D2588">
        <v>26</v>
      </c>
      <c r="E2588">
        <v>38</v>
      </c>
      <c r="F2588">
        <v>12</v>
      </c>
      <c r="G2588">
        <v>2</v>
      </c>
      <c r="H2588" s="1">
        <v>4.6759259259259263E-3</v>
      </c>
      <c r="I2588" t="s">
        <v>2</v>
      </c>
      <c r="J2588" t="s">
        <v>1</v>
      </c>
      <c r="K2588" s="2" t="str">
        <f>HYPERLINK("https://www.nba.com/stats/events?CFID=&amp;CFPARAMS=&amp;GameEventID=223&amp;GameID=0041800306&amp;Season=2018-19&amp;flag=1&amp;title=Siakam%203PT%20Jump%20Shot%20(7%20PTS)%20(Leonard%202%20AST)", "Siakam 3PT Jump Shot (7 PTS) (Leonard 2 AST)")</f>
        <v>Siakam 3PT Jump Shot (7 PTS) (Leonard 2 AST)</v>
      </c>
      <c r="L2588" s="2" t="str">
        <f>HYPERLINK("https://www.nba.com/game/...-vs-...-0041800306/play-by-play?watchFullGame=true", "TOR vs MIL - Q2 06:44.00")</f>
        <v>TOR vs MIL - Q2 06:44.00</v>
      </c>
      <c r="M2588">
        <v>0</v>
      </c>
      <c r="N2588">
        <v>231</v>
      </c>
      <c r="O2588">
        <v>8</v>
      </c>
      <c r="P2588">
        <v>231</v>
      </c>
      <c r="Q2588">
        <v>8</v>
      </c>
      <c r="R2588" t="s">
        <v>0</v>
      </c>
      <c r="S2588" t="s">
        <v>0</v>
      </c>
      <c r="T2588" t="s">
        <v>0</v>
      </c>
    </row>
    <row r="2589" spans="1:20" x14ac:dyDescent="0.25">
      <c r="A2589">
        <v>41800306</v>
      </c>
      <c r="B2589" t="s">
        <v>10</v>
      </c>
      <c r="C2589" t="s">
        <v>9</v>
      </c>
      <c r="D2589">
        <v>52</v>
      </c>
      <c r="E2589">
        <v>57</v>
      </c>
      <c r="F2589">
        <v>5</v>
      </c>
      <c r="G2589">
        <v>3</v>
      </c>
      <c r="H2589" s="1">
        <v>5.8564814814814816E-3</v>
      </c>
      <c r="I2589" t="s">
        <v>2</v>
      </c>
      <c r="J2589" t="s">
        <v>1</v>
      </c>
      <c r="K2589" s="2" t="str">
        <f>HYPERLINK("https://www.nba.com/stats/events?CFID=&amp;CFPARAMS=&amp;GameEventID=368&amp;GameID=0041800306&amp;Season=2018-19&amp;flag=1&amp;title=Gasol%203PT%20Jump%20Shot%20(3%20PTS)%20(Leonard%204%20AST)", "Gasol 3PT Jump Shot (3 PTS) (Leonard 4 AST)")</f>
        <v>Gasol 3PT Jump Shot (3 PTS) (Leonard 4 AST)</v>
      </c>
      <c r="L2589" s="2" t="str">
        <f>HYPERLINK("https://www.nba.com/game/...-vs-...-0041800306/play-by-play?watchFullGame=true", "TOR vs MIL - Q3 08:26.00")</f>
        <v>TOR vs MIL - Q3 08:26.00</v>
      </c>
      <c r="M2589">
        <v>0</v>
      </c>
      <c r="N2589">
        <v>220</v>
      </c>
      <c r="O2589">
        <v>25</v>
      </c>
      <c r="P2589">
        <v>220</v>
      </c>
      <c r="Q2589">
        <v>25</v>
      </c>
      <c r="R2589" t="s">
        <v>0</v>
      </c>
      <c r="S2589" t="s">
        <v>0</v>
      </c>
      <c r="T2589" t="s">
        <v>0</v>
      </c>
    </row>
    <row r="2590" spans="1:20" x14ac:dyDescent="0.25">
      <c r="A2590">
        <v>41800403</v>
      </c>
      <c r="B2590" t="s">
        <v>10</v>
      </c>
      <c r="C2590" t="s">
        <v>9</v>
      </c>
      <c r="D2590">
        <v>55</v>
      </c>
      <c r="E2590">
        <v>42</v>
      </c>
      <c r="F2590">
        <v>13</v>
      </c>
      <c r="G2590">
        <v>2</v>
      </c>
      <c r="H2590" s="1">
        <v>2.0486111111111113E-3</v>
      </c>
      <c r="I2590" t="s">
        <v>2</v>
      </c>
      <c r="J2590" t="s">
        <v>1</v>
      </c>
      <c r="K2590" s="2" t="str">
        <f>HYPERLINK("https://www.nba.com/stats/events?CFID=&amp;CFPARAMS=&amp;GameEventID=298&amp;GameID=0041800403&amp;Season=2018-19&amp;flag=1&amp;title=Lowry%2027'%203PT%20Jump%20Shot%20(10%20PTS)%20(Leonard%203%20AST)", "Lowry 27' 3PT Jump Shot (10 PTS) (Leonard 3 AST)")</f>
        <v>Lowry 27' 3PT Jump Shot (10 PTS) (Leonard 3 AST)</v>
      </c>
      <c r="L2590" s="2" t="str">
        <f>HYPERLINK("https://www.nba.com/game/...-vs-...-0041800403/play-by-play?watchFullGame=true", "TOR vs GSW - Q2 02:57.00")</f>
        <v>TOR vs GSW - Q2 02:57.00</v>
      </c>
      <c r="M2590">
        <v>27</v>
      </c>
      <c r="N2590">
        <v>180</v>
      </c>
      <c r="O2590">
        <v>197</v>
      </c>
      <c r="P2590">
        <v>180</v>
      </c>
      <c r="Q2590">
        <v>197</v>
      </c>
      <c r="R2590" t="s">
        <v>0</v>
      </c>
      <c r="S2590" t="s">
        <v>0</v>
      </c>
      <c r="T2590" t="s">
        <v>0</v>
      </c>
    </row>
    <row r="2591" spans="1:20" x14ac:dyDescent="0.25">
      <c r="A2591">
        <v>21400986</v>
      </c>
      <c r="B2591" t="s">
        <v>4</v>
      </c>
      <c r="C2591" t="s">
        <v>5</v>
      </c>
      <c r="D2591">
        <v>74</v>
      </c>
      <c r="E2591">
        <v>54</v>
      </c>
      <c r="F2591">
        <v>20</v>
      </c>
      <c r="G2591">
        <v>3</v>
      </c>
      <c r="H2591" s="1">
        <v>5.3125000000000004E-3</v>
      </c>
      <c r="I2591">
        <v>2014</v>
      </c>
      <c r="J2591" t="s">
        <v>7</v>
      </c>
      <c r="K2591" s="2" t="str">
        <f>HYPERLINK("https://www.nba.com/stats/events?CFID=&amp;CFPARAMS=&amp;GameEventID=288&amp;GameID=0021400986&amp;Season=2014-15&amp;flag=1&amp;title=Green%201'%20Layup%20(10%20PTS)%20(Leonard%201%20AST)", "Green 1' Layup (10 PTS) (Leonard 1 AST)")</f>
        <v>Green 1' Layup (10 PTS) (Leonard 1 AST)</v>
      </c>
      <c r="L2591" s="2" t="str">
        <f>HYPERLINK("https://www.nba.com/game/...-vs-...-0021400986/play-by-play?watchFullGame=true", "SAS vs MIN - Q3 07:39.00")</f>
        <v>SAS vs MIN - Q3 07:39.00</v>
      </c>
      <c r="M2591">
        <v>1</v>
      </c>
      <c r="N2591">
        <v>2</v>
      </c>
      <c r="O2591">
        <v>14</v>
      </c>
      <c r="P2591">
        <v>2</v>
      </c>
      <c r="Q2591">
        <v>14</v>
      </c>
      <c r="R2591" t="s">
        <v>0</v>
      </c>
      <c r="S2591" t="s">
        <v>0</v>
      </c>
      <c r="T2591" t="s">
        <v>0</v>
      </c>
    </row>
    <row r="2592" spans="1:20" x14ac:dyDescent="0.25">
      <c r="A2592">
        <v>21401028</v>
      </c>
      <c r="B2592" t="s">
        <v>4</v>
      </c>
      <c r="C2592" t="s">
        <v>22</v>
      </c>
      <c r="D2592">
        <v>12</v>
      </c>
      <c r="E2592">
        <v>4</v>
      </c>
      <c r="F2592">
        <v>8</v>
      </c>
      <c r="G2592">
        <v>1</v>
      </c>
      <c r="H2592" s="1">
        <v>5.9259259259259256E-3</v>
      </c>
      <c r="I2592">
        <v>2014</v>
      </c>
      <c r="J2592" t="s">
        <v>7</v>
      </c>
      <c r="K2592" s="2" t="str">
        <f>HYPERLINK("https://www.nba.com/stats/events?CFID=&amp;CFPARAMS=&amp;GameEventID=29&amp;GameID=0021401028&amp;Season=2014-15&amp;flag=1&amp;title=Splitter%208'%20Jump%20Bank%20Shot%20(4%20PTS)%20(Leonard%201%20AST)", "Splitter 8' Jump Bank Shot (4 PTS) (Leonard 1 AST)")</f>
        <v>Splitter 8' Jump Bank Shot (4 PTS) (Leonard 1 AST)</v>
      </c>
      <c r="L2592" s="2" t="str">
        <f>HYPERLINK("https://www.nba.com/game/...-vs-...-0021401028/play-by-play?watchFullGame=true", "SAS vs BOS - Q1 08:32.00")</f>
        <v>SAS vs BOS - Q1 08:32.00</v>
      </c>
      <c r="M2592">
        <v>8</v>
      </c>
      <c r="N2592">
        <v>64</v>
      </c>
      <c r="O2592">
        <v>42</v>
      </c>
      <c r="P2592">
        <v>64</v>
      </c>
      <c r="Q2592">
        <v>42</v>
      </c>
      <c r="R2592" t="s">
        <v>0</v>
      </c>
      <c r="S2592" t="s">
        <v>0</v>
      </c>
      <c r="T2592" t="s">
        <v>0</v>
      </c>
    </row>
    <row r="2593" spans="1:20" x14ac:dyDescent="0.25">
      <c r="A2593">
        <v>21401084</v>
      </c>
      <c r="B2593" t="s">
        <v>4</v>
      </c>
      <c r="C2593" t="s">
        <v>9</v>
      </c>
      <c r="D2593">
        <v>7</v>
      </c>
      <c r="E2593">
        <v>5</v>
      </c>
      <c r="F2593">
        <v>2</v>
      </c>
      <c r="G2593">
        <v>1</v>
      </c>
      <c r="H2593" s="1">
        <v>6.2615740740740739E-3</v>
      </c>
      <c r="I2593">
        <v>2014</v>
      </c>
      <c r="J2593" t="s">
        <v>7</v>
      </c>
      <c r="K2593" s="2" t="str">
        <f>HYPERLINK("https://www.nba.com/stats/events?CFID=&amp;CFPARAMS=&amp;GameEventID=21&amp;GameID=0021401084&amp;Season=2014-15&amp;flag=1&amp;title=Duncan%2018'%20Jump%20Shot%20(2%20PTS)%20(Leonard%201%20AST)", "Duncan 18' Jump Shot (2 PTS) (Leonard 1 AST)")</f>
        <v>Duncan 18' Jump Shot (2 PTS) (Leonard 1 AST)</v>
      </c>
      <c r="L2593" s="2" t="str">
        <f>HYPERLINK("https://www.nba.com/game/...-vs-...-0021401084/play-by-play?watchFullGame=true", "SAS vs DAL - Q1 09:01.00")</f>
        <v>SAS vs DAL - Q1 09:01.00</v>
      </c>
      <c r="M2593">
        <v>18</v>
      </c>
      <c r="N2593">
        <v>20</v>
      </c>
      <c r="O2593">
        <v>176</v>
      </c>
      <c r="P2593">
        <v>20</v>
      </c>
      <c r="Q2593">
        <v>176</v>
      </c>
      <c r="R2593" t="s">
        <v>0</v>
      </c>
      <c r="S2593" t="s">
        <v>0</v>
      </c>
      <c r="T2593" t="s">
        <v>0</v>
      </c>
    </row>
    <row r="2594" spans="1:20" x14ac:dyDescent="0.25">
      <c r="A2594">
        <v>21401223</v>
      </c>
      <c r="B2594" t="s">
        <v>4</v>
      </c>
      <c r="C2594" t="s">
        <v>9</v>
      </c>
      <c r="D2594">
        <v>33</v>
      </c>
      <c r="E2594">
        <v>54</v>
      </c>
      <c r="F2594">
        <v>21</v>
      </c>
      <c r="G2594">
        <v>2</v>
      </c>
      <c r="H2594" s="1">
        <v>3.0555555555555557E-3</v>
      </c>
      <c r="I2594">
        <v>2014</v>
      </c>
      <c r="J2594" t="s">
        <v>7</v>
      </c>
      <c r="K2594" s="2" t="str">
        <f>HYPERLINK("https://www.nba.com/stats/events?CFID=&amp;CFPARAMS=&amp;GameEventID=174&amp;GameID=0021401223&amp;Season=2014-15&amp;flag=1&amp;title=Diaw%209'%20Jump%20Shot%20(8%20PTS)%20(Leonard%201%20AST)", "Diaw 9' Jump Shot (8 PTS) (Leonard 1 AST)")</f>
        <v>Diaw 9' Jump Shot (8 PTS) (Leonard 1 AST)</v>
      </c>
      <c r="L2594" s="2" t="str">
        <f>HYPERLINK("https://www.nba.com/game/...-vs-...-0021401223/play-by-play?watchFullGame=true", "SAS vs NOP - Q2 04:24.00")</f>
        <v>SAS vs NOP - Q2 04:24.00</v>
      </c>
      <c r="M2594">
        <v>9</v>
      </c>
      <c r="N2594">
        <v>10</v>
      </c>
      <c r="O2594">
        <v>93</v>
      </c>
      <c r="P2594">
        <v>10</v>
      </c>
      <c r="Q2594">
        <v>93</v>
      </c>
      <c r="R2594" t="s">
        <v>0</v>
      </c>
      <c r="S2594" t="s">
        <v>0</v>
      </c>
      <c r="T2594" t="s">
        <v>0</v>
      </c>
    </row>
    <row r="2595" spans="1:20" x14ac:dyDescent="0.25">
      <c r="A2595">
        <v>21500040</v>
      </c>
      <c r="B2595" t="s">
        <v>4</v>
      </c>
      <c r="C2595" t="s">
        <v>3</v>
      </c>
      <c r="D2595">
        <v>50</v>
      </c>
      <c r="E2595">
        <v>39</v>
      </c>
      <c r="F2595">
        <v>11</v>
      </c>
      <c r="G2595">
        <v>3</v>
      </c>
      <c r="H2595" s="1">
        <v>5.0578703703703706E-3</v>
      </c>
      <c r="I2595">
        <v>2015</v>
      </c>
      <c r="J2595" t="s">
        <v>7</v>
      </c>
      <c r="K2595" s="2" t="str">
        <f>HYPERLINK("https://www.nba.com/stats/events?CFID=&amp;CFPARAMS=&amp;GameEventID=346&amp;GameID=0021500040&amp;Season=2015-16&amp;flag=1&amp;title=Duncan%206'%20Running%20Jump%20Shot%20(5%20PTS)%20(Leonard%201%20AST)", "Duncan 6' Running Jump Shot (5 PTS) (Leonard 1 AST)")</f>
        <v>Duncan 6' Running Jump Shot (5 PTS) (Leonard 1 AST)</v>
      </c>
      <c r="L2595" s="2" t="str">
        <f>HYPERLINK("https://www.nba.com/game/...-vs-...-0021500040/play-by-play?watchFullGame=true", "SAS vs BOS - Q3 07:17.00")</f>
        <v>SAS vs BOS - Q3 07:17.00</v>
      </c>
      <c r="M2595">
        <v>6</v>
      </c>
      <c r="N2595">
        <v>25</v>
      </c>
      <c r="O2595">
        <v>51</v>
      </c>
      <c r="P2595">
        <v>25</v>
      </c>
      <c r="Q2595">
        <v>51</v>
      </c>
      <c r="R2595" t="s">
        <v>0</v>
      </c>
      <c r="S2595" t="s">
        <v>0</v>
      </c>
      <c r="T2595" t="s">
        <v>0</v>
      </c>
    </row>
    <row r="2596" spans="1:20" x14ac:dyDescent="0.25">
      <c r="A2596">
        <v>21500156</v>
      </c>
      <c r="B2596" t="s">
        <v>4</v>
      </c>
      <c r="C2596" t="s">
        <v>19</v>
      </c>
      <c r="D2596">
        <v>32</v>
      </c>
      <c r="E2596">
        <v>23</v>
      </c>
      <c r="F2596">
        <v>9</v>
      </c>
      <c r="G2596">
        <v>2</v>
      </c>
      <c r="H2596" s="1">
        <v>2.685185185185185E-3</v>
      </c>
      <c r="I2596">
        <v>2015</v>
      </c>
      <c r="J2596" t="s">
        <v>7</v>
      </c>
      <c r="K2596" s="2" t="str">
        <f>HYPERLINK("https://www.nba.com/stats/events?CFID=&amp;CFPARAMS=&amp;GameEventID=199&amp;GameID=0021500156&amp;Season=2015-16&amp;flag=1&amp;title=Green%2014'%20Pullup%20Jump%20Shot%20(5%20PTS)%20(Leonard%201%20AST)", "Green 14' Pullup Jump Shot (5 PTS) (Leonard 1 AST)")</f>
        <v>Green 14' Pullup Jump Shot (5 PTS) (Leonard 1 AST)</v>
      </c>
      <c r="L2596" s="2" t="str">
        <f>HYPERLINK("https://www.nba.com/game/...-vs-...-0021500156/play-by-play?watchFullGame=true", "SAS vs POR - Q2 03:52.00")</f>
        <v>SAS vs POR - Q2 03:52.00</v>
      </c>
      <c r="M2596">
        <v>14</v>
      </c>
      <c r="N2596">
        <v>55</v>
      </c>
      <c r="O2596">
        <v>131</v>
      </c>
      <c r="P2596">
        <v>55</v>
      </c>
      <c r="Q2596">
        <v>131</v>
      </c>
      <c r="R2596" t="s">
        <v>0</v>
      </c>
      <c r="S2596" t="s">
        <v>0</v>
      </c>
      <c r="T2596" t="s">
        <v>0</v>
      </c>
    </row>
    <row r="2597" spans="1:20" x14ac:dyDescent="0.25">
      <c r="A2597">
        <v>21500224</v>
      </c>
      <c r="B2597" t="s">
        <v>4</v>
      </c>
      <c r="C2597" t="s">
        <v>9</v>
      </c>
      <c r="D2597">
        <v>18</v>
      </c>
      <c r="E2597">
        <v>8</v>
      </c>
      <c r="F2597">
        <v>10</v>
      </c>
      <c r="G2597">
        <v>1</v>
      </c>
      <c r="H2597" s="1">
        <v>3.460648148148148E-3</v>
      </c>
      <c r="I2597">
        <v>2015</v>
      </c>
      <c r="J2597" t="s">
        <v>7</v>
      </c>
      <c r="K2597" s="2" t="str">
        <f>HYPERLINK("https://www.nba.com/stats/events?CFID=&amp;CFPARAMS=&amp;GameEventID=59&amp;GameID=0021500224&amp;Season=2015-16&amp;flag=1&amp;title=Duncan%2013'%20Jump%20Shot%20(2%20PTS)%20(Leonard%201%20AST)", "Duncan 13' Jump Shot (2 PTS) (Leonard 1 AST)")</f>
        <v>Duncan 13' Jump Shot (2 PTS) (Leonard 1 AST)</v>
      </c>
      <c r="L2597" s="2" t="str">
        <f>HYPERLINK("https://www.nba.com/game/...-vs-...-0021500224/play-by-play?watchFullGame=true", "SAS vs DAL - Q1 04:59.00")</f>
        <v>SAS vs DAL - Q1 04:59.00</v>
      </c>
      <c r="M2597">
        <v>13</v>
      </c>
      <c r="N2597">
        <v>22</v>
      </c>
      <c r="O2597">
        <v>124</v>
      </c>
      <c r="P2597">
        <v>22</v>
      </c>
      <c r="Q2597">
        <v>124</v>
      </c>
      <c r="R2597" t="s">
        <v>0</v>
      </c>
      <c r="S2597" t="s">
        <v>0</v>
      </c>
      <c r="T2597" t="s">
        <v>0</v>
      </c>
    </row>
    <row r="2598" spans="1:20" x14ac:dyDescent="0.25">
      <c r="A2598">
        <v>21500617</v>
      </c>
      <c r="B2598" t="s">
        <v>10</v>
      </c>
      <c r="C2598" t="s">
        <v>9</v>
      </c>
      <c r="D2598">
        <v>41</v>
      </c>
      <c r="E2598">
        <v>28</v>
      </c>
      <c r="F2598">
        <v>13</v>
      </c>
      <c r="G2598">
        <v>2</v>
      </c>
      <c r="H2598" s="1">
        <v>6.4351851851851853E-3</v>
      </c>
      <c r="I2598">
        <v>2015</v>
      </c>
      <c r="J2598" t="s">
        <v>12</v>
      </c>
      <c r="K2598" s="2" t="str">
        <f>HYPERLINK("https://www.nba.com/stats/events?CFID=&amp;CFPARAMS=&amp;GameEventID=138&amp;GameID=0021500617&amp;Season=2015-16&amp;flag=1&amp;title=Henderson%2024'%203PT%20Jump%20Shot%20(7%20PTS)%20(Leonard%201%20AST)", "Henderson 24' 3PT Jump Shot (7 PTS) (Leonard 1 AST)")</f>
        <v>Henderson 24' 3PT Jump Shot (7 PTS) (Leonard 1 AST)</v>
      </c>
      <c r="L2598" s="2" t="str">
        <f>HYPERLINK("https://www.nba.com/game/...-vs-...-0021500617/play-by-play?watchFullGame=true", "POR vs WAS - Q2 09:16.00")</f>
        <v>POR vs WAS - Q2 09:16.00</v>
      </c>
      <c r="M2598">
        <v>24</v>
      </c>
      <c r="N2598">
        <v>240</v>
      </c>
      <c r="O2598">
        <v>26</v>
      </c>
      <c r="P2598">
        <v>240</v>
      </c>
      <c r="Q2598">
        <v>26</v>
      </c>
      <c r="R2598" t="s">
        <v>0</v>
      </c>
      <c r="S2598" t="s">
        <v>0</v>
      </c>
      <c r="T2598" t="s">
        <v>0</v>
      </c>
    </row>
    <row r="2599" spans="1:20" x14ac:dyDescent="0.25">
      <c r="A2599">
        <v>21500644</v>
      </c>
      <c r="B2599" t="s">
        <v>10</v>
      </c>
      <c r="C2599" t="s">
        <v>9</v>
      </c>
      <c r="D2599">
        <v>28</v>
      </c>
      <c r="E2599">
        <v>22</v>
      </c>
      <c r="F2599">
        <v>6</v>
      </c>
      <c r="G2599">
        <v>2</v>
      </c>
      <c r="H2599" s="1">
        <v>6.9097222222222225E-3</v>
      </c>
      <c r="I2599">
        <v>2015</v>
      </c>
      <c r="J2599" t="s">
        <v>7</v>
      </c>
      <c r="K2599" s="2" t="str">
        <f>HYPERLINK("https://www.nba.com/stats/events?CFID=&amp;CFPARAMS=&amp;GameEventID=136&amp;GameID=0021500644&amp;Season=2015-16&amp;flag=1&amp;title=Simmons%20%203PT%20Jump%20Shot%20(5%20PTS)%20(Leonard%202%20AST)", "Simmons  3PT Jump Shot (5 PTS) (Leonard 2 AST)")</f>
        <v>Simmons  3PT Jump Shot (5 PTS) (Leonard 2 AST)</v>
      </c>
      <c r="L2599" s="2" t="str">
        <f>HYPERLINK("https://www.nba.com/game/...-vs-...-0021500644/play-by-play?watchFullGame=true", "SAS vs PHX - Q2 09:57.00")</f>
        <v>SAS vs PHX - Q2 09:57.00</v>
      </c>
      <c r="M2599">
        <v>0</v>
      </c>
      <c r="N2599">
        <v>-232</v>
      </c>
      <c r="O2599">
        <v>11</v>
      </c>
      <c r="P2599">
        <v>-232</v>
      </c>
      <c r="Q2599">
        <v>11</v>
      </c>
      <c r="R2599" t="s">
        <v>0</v>
      </c>
      <c r="S2599" t="s">
        <v>0</v>
      </c>
      <c r="T2599" t="s">
        <v>0</v>
      </c>
    </row>
    <row r="2600" spans="1:20" x14ac:dyDescent="0.25">
      <c r="A2600">
        <v>21500733</v>
      </c>
      <c r="B2600" t="s">
        <v>4</v>
      </c>
      <c r="C2600" t="s">
        <v>19</v>
      </c>
      <c r="D2600">
        <v>77</v>
      </c>
      <c r="E2600">
        <v>68</v>
      </c>
      <c r="F2600">
        <v>9</v>
      </c>
      <c r="G2600">
        <v>3</v>
      </c>
      <c r="H2600" s="1">
        <v>1.1458333333333333E-3</v>
      </c>
      <c r="I2600">
        <v>2015</v>
      </c>
      <c r="J2600" t="s">
        <v>12</v>
      </c>
      <c r="K2600" s="2" t="str">
        <f>HYPERLINK("https://www.nba.com/stats/events?CFID=&amp;CFPARAMS=&amp;GameEventID=378&amp;GameID=0021500733&amp;Season=2015-16&amp;flag=1&amp;title=Crabbe%2020'%20Pullup%20Jump%20Shot%20(9%20PTS)%20(Leonard%202%20AST)", "Crabbe 20' Pullup Jump Shot (9 PTS) (Leonard 2 AST)")</f>
        <v>Crabbe 20' Pullup Jump Shot (9 PTS) (Leonard 2 AST)</v>
      </c>
      <c r="L2600" s="2" t="str">
        <f>HYPERLINK("https://www.nba.com/game/...-vs-...-0021500733/play-by-play?watchFullGame=true", "POR vs MIL - Q3 01:39.00")</f>
        <v>POR vs MIL - Q3 01:39.00</v>
      </c>
      <c r="M2600">
        <v>20</v>
      </c>
      <c r="N2600">
        <v>-148</v>
      </c>
      <c r="O2600">
        <v>141</v>
      </c>
      <c r="P2600">
        <v>-148</v>
      </c>
      <c r="Q2600">
        <v>141</v>
      </c>
      <c r="R2600" t="s">
        <v>0</v>
      </c>
      <c r="S2600" t="s">
        <v>0</v>
      </c>
      <c r="T2600" t="s">
        <v>0</v>
      </c>
    </row>
    <row r="2601" spans="1:20" x14ac:dyDescent="0.25">
      <c r="A2601">
        <v>21500909</v>
      </c>
      <c r="B2601" t="s">
        <v>4</v>
      </c>
      <c r="C2601" t="s">
        <v>9</v>
      </c>
      <c r="D2601">
        <v>80</v>
      </c>
      <c r="E2601">
        <v>84</v>
      </c>
      <c r="F2601">
        <v>4</v>
      </c>
      <c r="G2601">
        <v>4</v>
      </c>
      <c r="H2601" s="1">
        <v>2.9861111111111113E-3</v>
      </c>
      <c r="I2601">
        <v>2015</v>
      </c>
      <c r="J2601" t="s">
        <v>7</v>
      </c>
      <c r="K2601" s="2" t="str">
        <f>HYPERLINK("https://www.nba.com/stats/events?CFID=&amp;CFPARAMS=&amp;GameEventID=438&amp;GameID=0021500909&amp;Season=2015-16&amp;flag=1&amp;title=Aldridge%2020'%20Jump%20Shot%20(22%20PTS)%20(Leonard%202%20AST)", "Aldridge 20' Jump Shot (22 PTS) (Leonard 2 AST)")</f>
        <v>Aldridge 20' Jump Shot (22 PTS) (Leonard 2 AST)</v>
      </c>
      <c r="L2601" s="2" t="str">
        <f>HYPERLINK("https://www.nba.com/game/...-vs-...-0021500909/play-by-play?watchFullGame=true", "SAS vs NOP - Q4 04:18.00")</f>
        <v>SAS vs NOP - Q4 04:18.00</v>
      </c>
      <c r="M2601">
        <v>20</v>
      </c>
      <c r="N2601">
        <v>140</v>
      </c>
      <c r="O2601">
        <v>136</v>
      </c>
      <c r="P2601">
        <v>140</v>
      </c>
      <c r="Q2601">
        <v>136</v>
      </c>
      <c r="R2601" t="s">
        <v>0</v>
      </c>
      <c r="S2601" t="s">
        <v>0</v>
      </c>
      <c r="T2601" t="s">
        <v>0</v>
      </c>
    </row>
    <row r="2602" spans="1:20" x14ac:dyDescent="0.25">
      <c r="A2602">
        <v>21500909</v>
      </c>
      <c r="B2602" t="s">
        <v>4</v>
      </c>
      <c r="C2602" t="s">
        <v>14</v>
      </c>
      <c r="D2602">
        <v>45</v>
      </c>
      <c r="E2602">
        <v>41</v>
      </c>
      <c r="F2602">
        <v>4</v>
      </c>
      <c r="G2602">
        <v>2</v>
      </c>
      <c r="H2602" s="1">
        <v>8.9120370370370373E-4</v>
      </c>
      <c r="I2602">
        <v>2015</v>
      </c>
      <c r="J2602" t="s">
        <v>7</v>
      </c>
      <c r="K2602" s="2" t="str">
        <f>HYPERLINK("https://www.nba.com/stats/events?CFID=&amp;CFPARAMS=&amp;GameEventID=220&amp;GameID=0021500909&amp;Season=2015-16&amp;flag=1&amp;title=Aldridge%2015'%20Step%20Back%20Jump%20Shot%20(8%20PTS)%20(Leonard%201%20AST)", "Aldridge 15' Step Back Jump Shot (8 PTS) (Leonard 1 AST)")</f>
        <v>Aldridge 15' Step Back Jump Shot (8 PTS) (Leonard 1 AST)</v>
      </c>
      <c r="L2602" s="2" t="str">
        <f>HYPERLINK("https://www.nba.com/game/...-vs-...-0021500909/play-by-play?watchFullGame=true", "SAS vs NOP - Q2 01:17.00")</f>
        <v>SAS vs NOP - Q2 01:17.00</v>
      </c>
      <c r="M2602">
        <v>15</v>
      </c>
      <c r="N2602">
        <v>-145</v>
      </c>
      <c r="O2602">
        <v>16</v>
      </c>
      <c r="P2602">
        <v>-145</v>
      </c>
      <c r="Q2602">
        <v>16</v>
      </c>
      <c r="R2602" t="s">
        <v>0</v>
      </c>
      <c r="S2602" t="s">
        <v>0</v>
      </c>
      <c r="T2602" t="s">
        <v>0</v>
      </c>
    </row>
    <row r="2603" spans="1:20" x14ac:dyDescent="0.25">
      <c r="A2603">
        <v>21500945</v>
      </c>
      <c r="B2603" t="s">
        <v>4</v>
      </c>
      <c r="C2603" t="s">
        <v>9</v>
      </c>
      <c r="D2603">
        <v>11</v>
      </c>
      <c r="E2603">
        <v>10</v>
      </c>
      <c r="F2603">
        <v>1</v>
      </c>
      <c r="G2603">
        <v>1</v>
      </c>
      <c r="H2603" s="1">
        <v>5.5671296296296293E-3</v>
      </c>
      <c r="I2603">
        <v>2015</v>
      </c>
      <c r="J2603" t="s">
        <v>7</v>
      </c>
      <c r="K2603" s="2" t="str">
        <f>HYPERLINK("https://www.nba.com/stats/events?CFID=&amp;CFPARAMS=&amp;GameEventID=40&amp;GameID=0021500945&amp;Season=2015-16&amp;flag=1&amp;title=Aldridge%2017'%20Jump%20Shot%20(4%20PTS)%20(Leonard%201%20AST)", "Aldridge 17' Jump Shot (4 PTS) (Leonard 1 AST)")</f>
        <v>Aldridge 17' Jump Shot (4 PTS) (Leonard 1 AST)</v>
      </c>
      <c r="L2603" s="2" t="str">
        <f>HYPERLINK("https://www.nba.com/game/...-vs-...-0021500945/play-by-play?watchFullGame=true", "SAS vs MIN - Q1 08:01.00")</f>
        <v>SAS vs MIN - Q1 08:01.00</v>
      </c>
      <c r="M2603">
        <v>17</v>
      </c>
      <c r="N2603">
        <v>109</v>
      </c>
      <c r="O2603">
        <v>136</v>
      </c>
      <c r="P2603">
        <v>109</v>
      </c>
      <c r="Q2603">
        <v>136</v>
      </c>
      <c r="R2603" t="s">
        <v>0</v>
      </c>
      <c r="S2603" t="s">
        <v>0</v>
      </c>
      <c r="T2603" t="s">
        <v>0</v>
      </c>
    </row>
    <row r="2604" spans="1:20" x14ac:dyDescent="0.25">
      <c r="A2604">
        <v>21600319</v>
      </c>
      <c r="B2604" t="s">
        <v>4</v>
      </c>
      <c r="C2604" t="s">
        <v>9</v>
      </c>
      <c r="D2604">
        <v>50</v>
      </c>
      <c r="E2604">
        <v>48</v>
      </c>
      <c r="F2604">
        <v>2</v>
      </c>
      <c r="G2604">
        <v>3</v>
      </c>
      <c r="H2604" s="1">
        <v>6.5740740740740742E-3</v>
      </c>
      <c r="I2604">
        <v>2016</v>
      </c>
      <c r="J2604" t="s">
        <v>7</v>
      </c>
      <c r="K2604" s="2" t="str">
        <f>HYPERLINK("https://www.nba.com/stats/events?CFID=&amp;CFPARAMS=&amp;GameEventID=238&amp;GameID=0021600319&amp;Season=2016-17&amp;flag=1&amp;title=Laprovittola%2023'%20Jump%20Shot%20(7%20PTS)%20(Leonard%203%20AST)", "Laprovittola 23' Jump Shot (7 PTS) (Leonard 3 AST)")</f>
        <v>Laprovittola 23' Jump Shot (7 PTS) (Leonard 3 AST)</v>
      </c>
      <c r="L2604" s="2" t="str">
        <f>HYPERLINK("https://www.nba.com/game/...-vs-...-0021600319/play-by-play?watchFullGame=true", "SAS vs MIN - Q3 09:28.00")</f>
        <v>SAS vs MIN - Q3 09:28.00</v>
      </c>
      <c r="M2604">
        <v>23</v>
      </c>
      <c r="N2604">
        <v>-202</v>
      </c>
      <c r="O2604">
        <v>105</v>
      </c>
      <c r="P2604">
        <v>-202</v>
      </c>
      <c r="Q2604">
        <v>105</v>
      </c>
      <c r="R2604" t="s">
        <v>0</v>
      </c>
      <c r="S2604" t="s">
        <v>0</v>
      </c>
      <c r="T2604" t="s">
        <v>0</v>
      </c>
    </row>
    <row r="2605" spans="1:20" x14ac:dyDescent="0.25">
      <c r="A2605">
        <v>21600458</v>
      </c>
      <c r="B2605" t="s">
        <v>4</v>
      </c>
      <c r="C2605" t="s">
        <v>9</v>
      </c>
      <c r="D2605">
        <v>19</v>
      </c>
      <c r="E2605">
        <v>4</v>
      </c>
      <c r="F2605">
        <v>15</v>
      </c>
      <c r="G2605">
        <v>1</v>
      </c>
      <c r="H2605" s="1">
        <v>4.9074074074074072E-3</v>
      </c>
      <c r="I2605">
        <v>2016</v>
      </c>
      <c r="J2605" t="s">
        <v>7</v>
      </c>
      <c r="K2605" s="2" t="str">
        <f>HYPERLINK("https://www.nba.com/stats/events?CFID=&amp;CFPARAMS=&amp;GameEventID=38&amp;GameID=0021600458&amp;Season=2016-17&amp;flag=1&amp;title=Aldridge%2019'%20Jump%20Shot%20(10%20PTS)%20(Leonard%202%20AST)", "Aldridge 19' Jump Shot (10 PTS) (Leonard 2 AST)")</f>
        <v>Aldridge 19' Jump Shot (10 PTS) (Leonard 2 AST)</v>
      </c>
      <c r="L2605" s="2" t="str">
        <f>HYPERLINK("https://www.nba.com/game/...-vs-...-0021600458/play-by-play?watchFullGame=true", "SAS vs CHI - Q1 07:04.00")</f>
        <v>SAS vs CHI - Q1 07:04.00</v>
      </c>
      <c r="M2605">
        <v>19</v>
      </c>
      <c r="N2605">
        <v>-189</v>
      </c>
      <c r="O2605">
        <v>41</v>
      </c>
      <c r="P2605">
        <v>-189</v>
      </c>
      <c r="Q2605">
        <v>41</v>
      </c>
      <c r="R2605" t="s">
        <v>0</v>
      </c>
      <c r="S2605" t="s">
        <v>0</v>
      </c>
      <c r="T2605" t="s">
        <v>0</v>
      </c>
    </row>
    <row r="2606" spans="1:20" x14ac:dyDescent="0.25">
      <c r="A2606">
        <v>21600639</v>
      </c>
      <c r="B2606" t="s">
        <v>4</v>
      </c>
      <c r="C2606" t="s">
        <v>9</v>
      </c>
      <c r="D2606">
        <v>43</v>
      </c>
      <c r="E2606">
        <v>39</v>
      </c>
      <c r="F2606">
        <v>4</v>
      </c>
      <c r="G2606">
        <v>2</v>
      </c>
      <c r="H2606" s="1">
        <v>3.1018518518518517E-3</v>
      </c>
      <c r="I2606">
        <v>2016</v>
      </c>
      <c r="J2606" t="s">
        <v>7</v>
      </c>
      <c r="K2606" s="2" t="str">
        <f>HYPERLINK("https://www.nba.com/stats/events?CFID=&amp;CFPARAMS=&amp;GameEventID=206&amp;GameID=0021600639&amp;Season=2016-17&amp;flag=1&amp;title=Dedmon%204'%20Jump%20Shot%20(4%20PTS)%20(Leonard%202%20AST)", "Dedmon 4' Jump Shot (4 PTS) (Leonard 2 AST)")</f>
        <v>Dedmon 4' Jump Shot (4 PTS) (Leonard 2 AST)</v>
      </c>
      <c r="L2606" s="2" t="str">
        <f>HYPERLINK("https://www.nba.com/game/...-vs-...-0021600639/play-by-play?watchFullGame=true", "SAS vs DEN - Q2 04:28.00")</f>
        <v>SAS vs DEN - Q2 04:28.00</v>
      </c>
      <c r="M2606">
        <v>4</v>
      </c>
      <c r="N2606">
        <v>43</v>
      </c>
      <c r="O2606">
        <v>11</v>
      </c>
      <c r="P2606">
        <v>43</v>
      </c>
      <c r="Q2606">
        <v>11</v>
      </c>
      <c r="R2606" t="s">
        <v>0</v>
      </c>
      <c r="S2606" t="s">
        <v>0</v>
      </c>
      <c r="T2606" t="s">
        <v>0</v>
      </c>
    </row>
    <row r="2607" spans="1:20" x14ac:dyDescent="0.25">
      <c r="A2607">
        <v>21600701</v>
      </c>
      <c r="B2607" t="s">
        <v>4</v>
      </c>
      <c r="C2607" t="s">
        <v>6</v>
      </c>
      <c r="D2607">
        <v>38</v>
      </c>
      <c r="E2607">
        <v>38</v>
      </c>
      <c r="F2607">
        <v>0</v>
      </c>
      <c r="G2607">
        <v>2</v>
      </c>
      <c r="H2607" s="1">
        <v>4.8958333333333336E-3</v>
      </c>
      <c r="I2607">
        <v>2016</v>
      </c>
      <c r="J2607" t="s">
        <v>7</v>
      </c>
      <c r="K2607" s="2" t="str">
        <f>HYPERLINK("https://www.nba.com/stats/events?CFID=&amp;CFPARAMS=&amp;GameEventID=182&amp;GameID=0021600701&amp;Season=2016-17&amp;flag=1&amp;title=Lee%20%20Cutting%20Dunk%20Shot%20(4%20PTS)%20(Leonard%203%20AST)", "Lee  Cutting Dunk Shot (4 PTS) (Leonard 3 AST)")</f>
        <v>Lee  Cutting Dunk Shot (4 PTS) (Leonard 3 AST)</v>
      </c>
      <c r="L2607" s="2" t="str">
        <f>HYPERLINK("https://www.nba.com/game/...-vs-...-0021600701/play-by-play?watchFullGame=true", "SAS vs NOP - Q2 07:03.00")</f>
        <v>SAS vs NOP - Q2 07:03.00</v>
      </c>
      <c r="M2607">
        <v>0</v>
      </c>
      <c r="N2607">
        <v>0</v>
      </c>
      <c r="O2607">
        <v>1</v>
      </c>
      <c r="P2607">
        <v>0</v>
      </c>
      <c r="Q2607">
        <v>1</v>
      </c>
      <c r="R2607" t="s">
        <v>0</v>
      </c>
      <c r="S2607" t="s">
        <v>0</v>
      </c>
      <c r="T2607" t="s">
        <v>0</v>
      </c>
    </row>
    <row r="2608" spans="1:20" x14ac:dyDescent="0.25">
      <c r="A2608">
        <v>21600703</v>
      </c>
      <c r="B2608" t="s">
        <v>10</v>
      </c>
      <c r="C2608" t="s">
        <v>9</v>
      </c>
      <c r="D2608">
        <v>93</v>
      </c>
      <c r="E2608">
        <v>89</v>
      </c>
      <c r="F2608">
        <v>4</v>
      </c>
      <c r="G2608">
        <v>4</v>
      </c>
      <c r="H2608" s="1">
        <v>6.1921296296296299E-3</v>
      </c>
      <c r="I2608">
        <v>2016</v>
      </c>
      <c r="J2608" t="s">
        <v>12</v>
      </c>
      <c r="K2608" s="2" t="str">
        <f>HYPERLINK("https://www.nba.com/stats/events?CFID=&amp;CFPARAMS=&amp;GameEventID=423&amp;GameID=0021600703&amp;Season=2016-17&amp;flag=1&amp;title=Turner%20%203PT%20Jump%20Shot%20(8%20PTS)%20(Leonard%201%20AST)", "Turner  3PT Jump Shot (8 PTS) (Leonard 1 AST)")</f>
        <v>Turner  3PT Jump Shot (8 PTS) (Leonard 1 AST)</v>
      </c>
      <c r="L2608" s="2" t="str">
        <f>HYPERLINK("https://www.nba.com/game/...-vs-...-0021600703/play-by-play?watchFullGame=true", "POR vs MEM - Q4 08:55.00")</f>
        <v>POR vs MEM - Q4 08:55.00</v>
      </c>
      <c r="M2608">
        <v>0</v>
      </c>
      <c r="N2608">
        <v>-227</v>
      </c>
      <c r="O2608">
        <v>3</v>
      </c>
      <c r="P2608">
        <v>-227</v>
      </c>
      <c r="Q2608">
        <v>3</v>
      </c>
      <c r="R2608" t="s">
        <v>0</v>
      </c>
      <c r="S2608" t="s">
        <v>0</v>
      </c>
      <c r="T2608" t="s">
        <v>0</v>
      </c>
    </row>
    <row r="2609" spans="1:20" x14ac:dyDescent="0.25">
      <c r="A2609">
        <v>21600762</v>
      </c>
      <c r="B2609" t="s">
        <v>10</v>
      </c>
      <c r="C2609" t="s">
        <v>9</v>
      </c>
      <c r="D2609">
        <v>91</v>
      </c>
      <c r="E2609">
        <v>72</v>
      </c>
      <c r="F2609">
        <v>19</v>
      </c>
      <c r="G2609">
        <v>3</v>
      </c>
      <c r="H2609" s="1">
        <v>1.3888888888888888E-5</v>
      </c>
      <c r="I2609">
        <v>2016</v>
      </c>
      <c r="J2609" t="s">
        <v>7</v>
      </c>
      <c r="K2609" s="2" t="str">
        <f>HYPERLINK("https://www.nba.com/stats/events?CFID=&amp;CFPARAMS=&amp;GameEventID=389&amp;GameID=0021600762&amp;Season=2016-17&amp;flag=1&amp;title=Mills%2027'%203PT%20Jump%20Shot%20(10%20PTS)%20(Leonard%205%20AST)", "Mills 27' 3PT Jump Shot (10 PTS) (Leonard 5 AST)")</f>
        <v>Mills 27' 3PT Jump Shot (10 PTS) (Leonard 5 AST)</v>
      </c>
      <c r="L2609" s="2" t="str">
        <f>HYPERLINK("https://www.nba.com/game/...-vs-...-0021600762/play-by-play?watchFullGame=true", "SAS vs DEN - Q3 00:01.20")</f>
        <v>SAS vs DEN - Q3 00:01.20</v>
      </c>
      <c r="M2609">
        <v>27</v>
      </c>
      <c r="N2609">
        <v>-232</v>
      </c>
      <c r="O2609">
        <v>134</v>
      </c>
      <c r="P2609">
        <v>-232</v>
      </c>
      <c r="Q2609">
        <v>134</v>
      </c>
      <c r="R2609" t="s">
        <v>0</v>
      </c>
      <c r="S2609" t="s">
        <v>0</v>
      </c>
      <c r="T2609" t="s">
        <v>0</v>
      </c>
    </row>
    <row r="2610" spans="1:20" x14ac:dyDescent="0.25">
      <c r="A2610">
        <v>21600801</v>
      </c>
      <c r="B2610" t="s">
        <v>10</v>
      </c>
      <c r="C2610" t="s">
        <v>9</v>
      </c>
      <c r="D2610">
        <v>14</v>
      </c>
      <c r="E2610">
        <v>8</v>
      </c>
      <c r="F2610">
        <v>6</v>
      </c>
      <c r="G2610">
        <v>1</v>
      </c>
      <c r="H2610" s="1">
        <v>2.8587962962962963E-3</v>
      </c>
      <c r="I2610">
        <v>2016</v>
      </c>
      <c r="J2610" t="s">
        <v>7</v>
      </c>
      <c r="K2610" s="2" t="str">
        <f>HYPERLINK("https://www.nba.com/stats/events?CFID=&amp;CFPARAMS=&amp;GameEventID=67&amp;GameID=0021600801&amp;Season=2016-17&amp;flag=1&amp;title=Green%2026'%203PT%20Jump%20Shot%20(3%20PTS)%20(Leonard%202%20AST)", "Green 26' 3PT Jump Shot (3 PTS) (Leonard 2 AST)")</f>
        <v>Green 26' 3PT Jump Shot (3 PTS) (Leonard 2 AST)</v>
      </c>
      <c r="L2610" s="2" t="str">
        <f>HYPERLINK("https://www.nba.com/game/...-vs-...-0021600801/play-by-play?watchFullGame=true", "SAS vs DET - Q1 04:07.00")</f>
        <v>SAS vs DET - Q1 04:07.00</v>
      </c>
      <c r="M2610">
        <v>26</v>
      </c>
      <c r="N2610">
        <v>-132</v>
      </c>
      <c r="O2610">
        <v>224</v>
      </c>
      <c r="P2610">
        <v>-132</v>
      </c>
      <c r="Q2610">
        <v>224</v>
      </c>
      <c r="R2610" t="s">
        <v>0</v>
      </c>
      <c r="S2610" t="s">
        <v>0</v>
      </c>
      <c r="T2610" t="s">
        <v>0</v>
      </c>
    </row>
    <row r="2611" spans="1:20" x14ac:dyDescent="0.25">
      <c r="A2611">
        <v>21600817</v>
      </c>
      <c r="B2611" t="s">
        <v>4</v>
      </c>
      <c r="C2611" t="s">
        <v>5</v>
      </c>
      <c r="D2611">
        <v>65</v>
      </c>
      <c r="E2611">
        <v>65</v>
      </c>
      <c r="F2611">
        <v>0</v>
      </c>
      <c r="G2611">
        <v>3</v>
      </c>
      <c r="H2611" s="1">
        <v>2.0023148148148148E-3</v>
      </c>
      <c r="I2611">
        <v>2016</v>
      </c>
      <c r="J2611" t="s">
        <v>7</v>
      </c>
      <c r="K2611" s="2" t="str">
        <f>HYPERLINK("https://www.nba.com/stats/events?CFID=&amp;CFPARAMS=&amp;GameEventID=332&amp;GameID=0021600817&amp;Season=2016-17&amp;flag=1&amp;title=Ginobili%202'%20Layup%20(2%20PTS)%20(Leonard%204%20AST)", "Ginobili 2' Layup (2 PTS) (Leonard 4 AST)")</f>
        <v>Ginobili 2' Layup (2 PTS) (Leonard 4 AST)</v>
      </c>
      <c r="L2611" s="2" t="str">
        <f>HYPERLINK("https://www.nba.com/game/...-vs-...-0021600817/play-by-play?watchFullGame=true", "SAS vs NYK - Q3 02:53.00")</f>
        <v>SAS vs NYK - Q3 02:53.00</v>
      </c>
      <c r="M2611">
        <v>2</v>
      </c>
      <c r="N2611">
        <v>20</v>
      </c>
      <c r="O2611">
        <v>7</v>
      </c>
      <c r="P2611">
        <v>20</v>
      </c>
      <c r="Q2611">
        <v>7</v>
      </c>
      <c r="R2611" t="s">
        <v>0</v>
      </c>
      <c r="S2611" t="s">
        <v>0</v>
      </c>
      <c r="T2611" t="s">
        <v>0</v>
      </c>
    </row>
    <row r="2612" spans="1:20" x14ac:dyDescent="0.25">
      <c r="A2612">
        <v>21600830</v>
      </c>
      <c r="B2612" t="s">
        <v>10</v>
      </c>
      <c r="C2612" t="s">
        <v>9</v>
      </c>
      <c r="D2612">
        <v>63</v>
      </c>
      <c r="E2612">
        <v>60</v>
      </c>
      <c r="F2612">
        <v>3</v>
      </c>
      <c r="G2612">
        <v>3</v>
      </c>
      <c r="H2612" s="1">
        <v>4.7106481481481478E-3</v>
      </c>
      <c r="I2612">
        <v>2016</v>
      </c>
      <c r="J2612" t="s">
        <v>12</v>
      </c>
      <c r="K2612" s="2" t="str">
        <f>HYPERLINK("https://www.nba.com/stats/events?CFID=&amp;CFPARAMS=&amp;GameEventID=337&amp;GameID=0021600830&amp;Season=2016-17&amp;flag=1&amp;title=Crabbe%2025'%203PT%20Jump%20Shot%20(6%20PTS)%20(Leonard%203%20AST)", "Crabbe 25' 3PT Jump Shot (6 PTS) (Leonard 3 AST)")</f>
        <v>Crabbe 25' 3PT Jump Shot (6 PTS) (Leonard 3 AST)</v>
      </c>
      <c r="L2612" s="2" t="str">
        <f>HYPERLINK("https://www.nba.com/game/...-vs-...-0021600830/play-by-play?watchFullGame=true", "POR vs ATL - Q3 06:47.00")</f>
        <v>POR vs ATL - Q3 06:47.00</v>
      </c>
      <c r="M2612">
        <v>25</v>
      </c>
      <c r="N2612">
        <v>-210</v>
      </c>
      <c r="O2612">
        <v>129</v>
      </c>
      <c r="P2612">
        <v>-210</v>
      </c>
      <c r="Q2612">
        <v>129</v>
      </c>
      <c r="R2612" t="s">
        <v>0</v>
      </c>
      <c r="S2612" t="s">
        <v>0</v>
      </c>
      <c r="T2612" t="s">
        <v>0</v>
      </c>
    </row>
    <row r="2613" spans="1:20" x14ac:dyDescent="0.25">
      <c r="A2613">
        <v>21600917</v>
      </c>
      <c r="B2613" t="s">
        <v>10</v>
      </c>
      <c r="C2613" t="s">
        <v>9</v>
      </c>
      <c r="D2613">
        <v>92</v>
      </c>
      <c r="E2613">
        <v>94</v>
      </c>
      <c r="F2613">
        <v>2</v>
      </c>
      <c r="G2613">
        <v>5</v>
      </c>
      <c r="H2613" s="1">
        <v>2.2916666666666667E-3</v>
      </c>
      <c r="I2613">
        <v>2016</v>
      </c>
      <c r="J2613" t="s">
        <v>7</v>
      </c>
      <c r="K2613" s="2" t="str">
        <f>HYPERLINK("https://www.nba.com/stats/events?CFID=&amp;CFPARAMS=&amp;GameEventID=590&amp;GameID=0021600917&amp;Season=2016-17&amp;flag=1&amp;title=Gasol%2025'%203PT%20Jump%20Shot%20(13%20PTS)%20(Leonard%204%20AST)", "Gasol 25' 3PT Jump Shot (13 PTS) (Leonard 4 AST)")</f>
        <v>Gasol 25' 3PT Jump Shot (13 PTS) (Leonard 4 AST)</v>
      </c>
      <c r="L2613" s="2" t="str">
        <f>HYPERLINK("https://www.nba.com/game/...-vs-...-0021600917/play-by-play?watchFullGame=true", "SAS vs NOP - Q5 03:18.00")</f>
        <v>SAS vs NOP - Q5 03:18.00</v>
      </c>
      <c r="M2613">
        <v>25</v>
      </c>
      <c r="N2613">
        <v>-248</v>
      </c>
      <c r="O2613">
        <v>36</v>
      </c>
      <c r="P2613">
        <v>-248</v>
      </c>
      <c r="Q2613">
        <v>36</v>
      </c>
      <c r="R2613" t="s">
        <v>0</v>
      </c>
      <c r="S2613" t="s">
        <v>0</v>
      </c>
      <c r="T2613" t="s">
        <v>0</v>
      </c>
    </row>
    <row r="2614" spans="1:20" x14ac:dyDescent="0.25">
      <c r="A2614">
        <v>21600925</v>
      </c>
      <c r="B2614" t="s">
        <v>4</v>
      </c>
      <c r="C2614" t="s">
        <v>24</v>
      </c>
      <c r="D2614">
        <v>41</v>
      </c>
      <c r="E2614">
        <v>55</v>
      </c>
      <c r="F2614">
        <v>14</v>
      </c>
      <c r="G2614">
        <v>2</v>
      </c>
      <c r="H2614" s="1">
        <v>5.4166666666666664E-4</v>
      </c>
      <c r="I2614">
        <v>2016</v>
      </c>
      <c r="J2614" t="s">
        <v>7</v>
      </c>
      <c r="K2614" s="2" t="str">
        <f>HYPERLINK("https://www.nba.com/stats/events?CFID=&amp;CFPARAMS=&amp;GameEventID=255&amp;GameID=0021600925&amp;Season=2016-17&amp;flag=1&amp;title=Aldridge%201'%20Cutting%20Finger%20Roll%20Layup%20Shot%20(11%20PTS)%20(Leonard%203%20AST)", "Aldridge 1' Cutting Finger Roll Layup Shot (11 PTS) (Leonard 3 AST)")</f>
        <v>Aldridge 1' Cutting Finger Roll Layup Shot (11 PTS) (Leonard 3 AST)</v>
      </c>
      <c r="L2614" s="2" t="str">
        <f>HYPERLINK("https://www.nba.com/game/...-vs-...-0021600925/play-by-play?watchFullGame=true", "SAS vs MIN - Q2 00:46.80")</f>
        <v>SAS vs MIN - Q2 00:46.80</v>
      </c>
      <c r="M2614">
        <v>1</v>
      </c>
      <c r="N2614">
        <v>4</v>
      </c>
      <c r="O2614">
        <v>11</v>
      </c>
      <c r="P2614">
        <v>4</v>
      </c>
      <c r="Q2614">
        <v>11</v>
      </c>
      <c r="R2614" t="s">
        <v>0</v>
      </c>
      <c r="S2614" t="s">
        <v>0</v>
      </c>
      <c r="T2614" t="s">
        <v>0</v>
      </c>
    </row>
    <row r="2615" spans="1:20" x14ac:dyDescent="0.25">
      <c r="A2615">
        <v>21600925</v>
      </c>
      <c r="B2615" t="s">
        <v>10</v>
      </c>
      <c r="C2615" t="s">
        <v>9</v>
      </c>
      <c r="D2615">
        <v>33</v>
      </c>
      <c r="E2615">
        <v>45</v>
      </c>
      <c r="F2615">
        <v>12</v>
      </c>
      <c r="G2615">
        <v>2</v>
      </c>
      <c r="H2615" s="1">
        <v>3.6342592592592594E-3</v>
      </c>
      <c r="I2615">
        <v>2016</v>
      </c>
      <c r="J2615" t="s">
        <v>7</v>
      </c>
      <c r="K2615" s="2" t="str">
        <f>HYPERLINK("https://www.nba.com/stats/events?CFID=&amp;CFPARAMS=&amp;GameEventID=210&amp;GameID=0021600925&amp;Season=2016-17&amp;flag=1&amp;title=Gasol%2025'%203PT%20Jump%20Shot%20(8%20PTS)%20(Leonard%202%20AST)", "Gasol 25' 3PT Jump Shot (8 PTS) (Leonard 2 AST)")</f>
        <v>Gasol 25' 3PT Jump Shot (8 PTS) (Leonard 2 AST)</v>
      </c>
      <c r="L2615" s="2" t="str">
        <f>HYPERLINK("https://www.nba.com/game/...-vs-...-0021600925/play-by-play?watchFullGame=true", "SAS vs MIN - Q2 05:14.00")</f>
        <v>SAS vs MIN - Q2 05:14.00</v>
      </c>
      <c r="M2615">
        <v>25</v>
      </c>
      <c r="N2615">
        <v>-4</v>
      </c>
      <c r="O2615">
        <v>247</v>
      </c>
      <c r="P2615">
        <v>-4</v>
      </c>
      <c r="Q2615">
        <v>247</v>
      </c>
      <c r="R2615" t="s">
        <v>0</v>
      </c>
      <c r="S2615" t="s">
        <v>0</v>
      </c>
      <c r="T2615" t="s">
        <v>0</v>
      </c>
    </row>
    <row r="2616" spans="1:20" x14ac:dyDescent="0.25">
      <c r="A2616">
        <v>21600963</v>
      </c>
      <c r="B2616" t="s">
        <v>4</v>
      </c>
      <c r="C2616" t="s">
        <v>23</v>
      </c>
      <c r="D2616">
        <v>76</v>
      </c>
      <c r="E2616">
        <v>69</v>
      </c>
      <c r="F2616">
        <v>7</v>
      </c>
      <c r="G2616">
        <v>3</v>
      </c>
      <c r="H2616" s="1">
        <v>1.6087962962962963E-3</v>
      </c>
      <c r="I2616">
        <v>2016</v>
      </c>
      <c r="J2616" t="s">
        <v>12</v>
      </c>
      <c r="K2616" s="2" t="str">
        <f>HYPERLINK("https://www.nba.com/stats/events?CFID=&amp;CFPARAMS=&amp;GameEventID=395&amp;GameID=0021600963&amp;Season=2016-17&amp;flag=1&amp;title=Lillard%202'%20Driving%20Layup%20(14%20PTS)%20(Leonard%202%20AST)", "Lillard 2' Driving Layup (14 PTS) (Leonard 2 AST)")</f>
        <v>Lillard 2' Driving Layup (14 PTS) (Leonard 2 AST)</v>
      </c>
      <c r="L2616" s="2" t="str">
        <f>HYPERLINK("https://www.nba.com/game/...-vs-...-0021600963/play-by-play?watchFullGame=true", "POR vs PHI - Q3 02:19.00")</f>
        <v>POR vs PHI - Q3 02:19.00</v>
      </c>
      <c r="M2616">
        <v>2</v>
      </c>
      <c r="N2616">
        <v>15</v>
      </c>
      <c r="O2616">
        <v>3</v>
      </c>
      <c r="P2616">
        <v>15</v>
      </c>
      <c r="Q2616">
        <v>3</v>
      </c>
      <c r="R2616" t="s">
        <v>0</v>
      </c>
      <c r="S2616" t="s">
        <v>0</v>
      </c>
      <c r="T2616" t="s">
        <v>0</v>
      </c>
    </row>
    <row r="2617" spans="1:20" x14ac:dyDescent="0.25">
      <c r="A2617">
        <v>21600963</v>
      </c>
      <c r="B2617" t="s">
        <v>10</v>
      </c>
      <c r="C2617" t="s">
        <v>9</v>
      </c>
      <c r="D2617">
        <v>22</v>
      </c>
      <c r="E2617">
        <v>13</v>
      </c>
      <c r="F2617">
        <v>9</v>
      </c>
      <c r="G2617">
        <v>1</v>
      </c>
      <c r="H2617" s="1">
        <v>1.4814814814814814E-3</v>
      </c>
      <c r="I2617">
        <v>2016</v>
      </c>
      <c r="J2617" t="s">
        <v>12</v>
      </c>
      <c r="K2617" s="2" t="str">
        <f>HYPERLINK("https://www.nba.com/stats/events?CFID=&amp;CFPARAMS=&amp;GameEventID=120&amp;GameID=0021600963&amp;Season=2016-17&amp;flag=1&amp;title=McCollum%2024'%203PT%20Jump%20Shot%20(7%20PTS)%20(Leonard%201%20AST)", "McCollum 24' 3PT Jump Shot (7 PTS) (Leonard 1 AST)")</f>
        <v>McCollum 24' 3PT Jump Shot (7 PTS) (Leonard 1 AST)</v>
      </c>
      <c r="L2617" s="2" t="str">
        <f>HYPERLINK("https://www.nba.com/game/...-vs-...-0021600963/play-by-play?watchFullGame=true", "POR vs PHI - Q1 02:08.00")</f>
        <v>POR vs PHI - Q1 02:08.00</v>
      </c>
      <c r="M2617">
        <v>24</v>
      </c>
      <c r="N2617">
        <v>233</v>
      </c>
      <c r="O2617">
        <v>75</v>
      </c>
      <c r="P2617">
        <v>233</v>
      </c>
      <c r="Q2617">
        <v>75</v>
      </c>
      <c r="R2617" t="s">
        <v>0</v>
      </c>
      <c r="S2617" t="s">
        <v>0</v>
      </c>
      <c r="T2617" t="s">
        <v>0</v>
      </c>
    </row>
    <row r="2618" spans="1:20" x14ac:dyDescent="0.25">
      <c r="A2618">
        <v>21601071</v>
      </c>
      <c r="B2618" t="s">
        <v>10</v>
      </c>
      <c r="C2618" t="s">
        <v>22</v>
      </c>
      <c r="D2618">
        <v>33</v>
      </c>
      <c r="E2618">
        <v>20</v>
      </c>
      <c r="F2618">
        <v>13</v>
      </c>
      <c r="G2618">
        <v>1</v>
      </c>
      <c r="H2618" s="1">
        <v>1.0763888888888889E-3</v>
      </c>
      <c r="I2618">
        <v>2016</v>
      </c>
      <c r="J2618" t="s">
        <v>12</v>
      </c>
      <c r="K2618" s="2" t="str">
        <f>HYPERLINK("https://www.nba.com/stats/events?CFID=&amp;CFPARAMS=&amp;GameEventID=122&amp;GameID=0021601071&amp;Season=2016-17&amp;flag=1&amp;title=Aminu%2025'%203PT%20Jump%20Bank%20Shot%20(3%20PTS)%20(Leonard%201%20AST)", "Aminu 25' 3PT Jump Bank Shot (3 PTS) (Leonard 1 AST)")</f>
        <v>Aminu 25' 3PT Jump Bank Shot (3 PTS) (Leonard 1 AST)</v>
      </c>
      <c r="L2618" s="2" t="str">
        <f>HYPERLINK("https://www.nba.com/game/...-vs-...-0021601071/play-by-play?watchFullGame=true", "POR vs NYK - Q1 01:33.00")</f>
        <v>POR vs NYK - Q1 01:33.00</v>
      </c>
      <c r="M2618">
        <v>25</v>
      </c>
      <c r="N2618">
        <v>92</v>
      </c>
      <c r="O2618">
        <v>228</v>
      </c>
      <c r="P2618">
        <v>92</v>
      </c>
      <c r="Q2618">
        <v>228</v>
      </c>
      <c r="R2618" t="s">
        <v>0</v>
      </c>
      <c r="S2618" t="s">
        <v>0</v>
      </c>
      <c r="T2618" t="s">
        <v>0</v>
      </c>
    </row>
    <row r="2619" spans="1:20" x14ac:dyDescent="0.25">
      <c r="A2619">
        <v>21601099</v>
      </c>
      <c r="B2619" t="s">
        <v>10</v>
      </c>
      <c r="C2619" t="s">
        <v>9</v>
      </c>
      <c r="D2619">
        <v>14</v>
      </c>
      <c r="E2619">
        <v>10</v>
      </c>
      <c r="F2619">
        <v>4</v>
      </c>
      <c r="G2619">
        <v>1</v>
      </c>
      <c r="H2619" s="1">
        <v>4.2245370370370371E-3</v>
      </c>
      <c r="I2619">
        <v>2016</v>
      </c>
      <c r="J2619" t="s">
        <v>7</v>
      </c>
      <c r="K2619" s="2" t="str">
        <f>HYPERLINK("https://www.nba.com/stats/events?CFID=&amp;CFPARAMS=&amp;GameEventID=54&amp;GameID=0021601099&amp;Season=2016-17&amp;flag=1&amp;title=Green%2025'%203PT%20Jump%20Shot%20(5%20PTS)%20(Leonard%203%20AST)", "Green 25' 3PT Jump Shot (5 PTS) (Leonard 3 AST)")</f>
        <v>Green 25' 3PT Jump Shot (5 PTS) (Leonard 3 AST)</v>
      </c>
      <c r="L2619" s="2" t="str">
        <f>HYPERLINK("https://www.nba.com/game/...-vs-...-0021601099/play-by-play?watchFullGame=true", "SAS vs CLE - Q1 06:05.00")</f>
        <v>SAS vs CLE - Q1 06:05.00</v>
      </c>
      <c r="M2619">
        <v>25</v>
      </c>
      <c r="N2619">
        <v>248</v>
      </c>
      <c r="O2619">
        <v>21</v>
      </c>
      <c r="P2619">
        <v>248</v>
      </c>
      <c r="Q2619">
        <v>21</v>
      </c>
      <c r="R2619" t="s">
        <v>0</v>
      </c>
      <c r="S2619" t="s">
        <v>0</v>
      </c>
      <c r="T2619" t="s">
        <v>0</v>
      </c>
    </row>
    <row r="2620" spans="1:20" x14ac:dyDescent="0.25">
      <c r="A2620">
        <v>21601099</v>
      </c>
      <c r="B2620" t="s">
        <v>10</v>
      </c>
      <c r="C2620" t="s">
        <v>9</v>
      </c>
      <c r="D2620">
        <v>79</v>
      </c>
      <c r="E2620">
        <v>55</v>
      </c>
      <c r="F2620">
        <v>24</v>
      </c>
      <c r="G2620">
        <v>3</v>
      </c>
      <c r="H2620" s="1">
        <v>3.3449074074074072E-4</v>
      </c>
      <c r="I2620">
        <v>2016</v>
      </c>
      <c r="J2620" t="s">
        <v>7</v>
      </c>
      <c r="K2620" s="2" t="str">
        <f>HYPERLINK("https://www.nba.com/stats/events?CFID=&amp;CFPARAMS=&amp;GameEventID=393&amp;GameID=0021601099&amp;Season=2016-17&amp;flag=1&amp;title=Ginobili%2025'%203PT%20Jump%20Shot%20(12%20PTS)%20(Leonard%206%20AST)", "Ginobili 25' 3PT Jump Shot (12 PTS) (Leonard 6 AST)")</f>
        <v>Ginobili 25' 3PT Jump Shot (12 PTS) (Leonard 6 AST)</v>
      </c>
      <c r="L2620" s="2" t="str">
        <f>HYPERLINK("https://www.nba.com/game/...-vs-...-0021601099/play-by-play?watchFullGame=true", "SAS vs CLE - Q3 00:28.90")</f>
        <v>SAS vs CLE - Q3 00:28.90</v>
      </c>
      <c r="M2620">
        <v>25</v>
      </c>
      <c r="N2620">
        <v>235</v>
      </c>
      <c r="O2620">
        <v>77</v>
      </c>
      <c r="P2620">
        <v>235</v>
      </c>
      <c r="Q2620">
        <v>77</v>
      </c>
      <c r="R2620" t="s">
        <v>0</v>
      </c>
      <c r="S2620" t="s">
        <v>0</v>
      </c>
      <c r="T2620" t="s">
        <v>0</v>
      </c>
    </row>
    <row r="2621" spans="1:20" x14ac:dyDescent="0.25">
      <c r="A2621">
        <v>21601161</v>
      </c>
      <c r="B2621" t="s">
        <v>10</v>
      </c>
      <c r="C2621" t="s">
        <v>9</v>
      </c>
      <c r="D2621">
        <v>89</v>
      </c>
      <c r="E2621">
        <v>86</v>
      </c>
      <c r="F2621">
        <v>3</v>
      </c>
      <c r="G2621">
        <v>5</v>
      </c>
      <c r="H2621" s="1">
        <v>1.4467592592592592E-3</v>
      </c>
      <c r="I2621">
        <v>2016</v>
      </c>
      <c r="J2621" t="s">
        <v>7</v>
      </c>
      <c r="K2621" s="2" t="str">
        <f>HYPERLINK("https://www.nba.com/stats/events?CFID=&amp;CFPARAMS=&amp;GameEventID=527&amp;GameID=0021601161&amp;Season=2016-17&amp;flag=1&amp;title=Gasol%2024'%203PT%20Jump%20Shot%20(12%20PTS)%20(Leonard%204%20AST)", "Gasol 24' 3PT Jump Shot (12 PTS) (Leonard 4 AST)")</f>
        <v>Gasol 24' 3PT Jump Shot (12 PTS) (Leonard 4 AST)</v>
      </c>
      <c r="L2621" s="2" t="str">
        <f>HYPERLINK("https://www.nba.com/game/...-vs-...-0021601161/play-by-play?watchFullGame=true", "SAS vs MEM - Q5 02:05.00")</f>
        <v>SAS vs MEM - Q5 02:05.00</v>
      </c>
      <c r="M2621">
        <v>24</v>
      </c>
      <c r="N2621">
        <v>50</v>
      </c>
      <c r="O2621">
        <v>239</v>
      </c>
      <c r="P2621">
        <v>50</v>
      </c>
      <c r="Q2621">
        <v>239</v>
      </c>
      <c r="R2621" t="s">
        <v>0</v>
      </c>
      <c r="S2621" t="s">
        <v>0</v>
      </c>
      <c r="T2621" t="s">
        <v>0</v>
      </c>
    </row>
    <row r="2622" spans="1:20" x14ac:dyDescent="0.25">
      <c r="A2622">
        <v>21700402</v>
      </c>
      <c r="B2622" t="s">
        <v>4</v>
      </c>
      <c r="C2622" t="s">
        <v>21</v>
      </c>
      <c r="D2622">
        <v>27</v>
      </c>
      <c r="E2622">
        <v>34</v>
      </c>
      <c r="F2622">
        <v>7</v>
      </c>
      <c r="G2622">
        <v>2</v>
      </c>
      <c r="H2622" s="1">
        <v>7.1412037037037034E-3</v>
      </c>
      <c r="I2622">
        <v>2017</v>
      </c>
      <c r="J2622" t="s">
        <v>7</v>
      </c>
      <c r="K2622" s="2" t="str">
        <f>HYPERLINK("https://www.nba.com/stats/events?CFID=&amp;CFPARAMS=&amp;GameEventID=154&amp;GameID=0021700402&amp;Season=2017-18&amp;flag=1&amp;title=Parker%208'%20Fadeaway%20Jumper%20(2%20PTS)%20(Leonard%201%20AST)", "Parker 8' Fadeaway Jumper (2 PTS) (Leonard 1 AST)")</f>
        <v>Parker 8' Fadeaway Jumper (2 PTS) (Leonard 1 AST)</v>
      </c>
      <c r="L2622" s="2" t="str">
        <f>HYPERLINK("https://www.nba.com/game/...-vs-...-0021700402/play-by-play?watchFullGame=true", "SAS vs DAL - Q2 10:17.00")</f>
        <v>SAS vs DAL - Q2 10:17.00</v>
      </c>
      <c r="M2622">
        <v>8</v>
      </c>
      <c r="N2622">
        <v>-16</v>
      </c>
      <c r="O2622">
        <v>80</v>
      </c>
      <c r="P2622">
        <v>-16</v>
      </c>
      <c r="Q2622">
        <v>80</v>
      </c>
      <c r="R2622" t="s">
        <v>0</v>
      </c>
      <c r="S2622" t="s">
        <v>0</v>
      </c>
      <c r="T2622" t="s">
        <v>0</v>
      </c>
    </row>
    <row r="2623" spans="1:20" x14ac:dyDescent="0.25">
      <c r="A2623">
        <v>21700956</v>
      </c>
      <c r="B2623" t="s">
        <v>10</v>
      </c>
      <c r="C2623" t="s">
        <v>9</v>
      </c>
      <c r="D2623">
        <v>58</v>
      </c>
      <c r="E2623">
        <v>53</v>
      </c>
      <c r="F2623">
        <v>5</v>
      </c>
      <c r="G2623">
        <v>2</v>
      </c>
      <c r="H2623" s="1">
        <v>6.9444444444444447E-4</v>
      </c>
      <c r="I2623">
        <v>2017</v>
      </c>
      <c r="J2623" t="s">
        <v>12</v>
      </c>
      <c r="K2623" s="2" t="str">
        <f>HYPERLINK("https://www.nba.com/stats/events?CFID=&amp;CFPARAMS=&amp;GameEventID=305&amp;GameID=0021700956&amp;Season=2017-18&amp;flag=1&amp;title=Lillard%2025'%203PT%20Jump%20Shot%20(17%20PTS)%20(Leonard%201%20AST)", "Lillard 25' 3PT Jump Shot (17 PTS) (Leonard 1 AST)")</f>
        <v>Lillard 25' 3PT Jump Shot (17 PTS) (Leonard 1 AST)</v>
      </c>
      <c r="L2623" s="2" t="str">
        <f>HYPERLINK("https://www.nba.com/game/...-vs-...-0021700956/play-by-play?watchFullGame=true", "POR vs LAL - Q2 01:00.00")</f>
        <v>POR vs LAL - Q2 01:00.00</v>
      </c>
      <c r="M2623">
        <v>25</v>
      </c>
      <c r="N2623">
        <v>-188</v>
      </c>
      <c r="O2623">
        <v>167</v>
      </c>
      <c r="P2623">
        <v>-188</v>
      </c>
      <c r="Q2623">
        <v>167</v>
      </c>
      <c r="R2623" t="s">
        <v>0</v>
      </c>
      <c r="S2623" t="s">
        <v>0</v>
      </c>
      <c r="T2623" t="s">
        <v>0</v>
      </c>
    </row>
    <row r="2624" spans="1:20" x14ac:dyDescent="0.25">
      <c r="A2624">
        <v>21800019</v>
      </c>
      <c r="B2624" t="s">
        <v>4</v>
      </c>
      <c r="C2624" t="s">
        <v>20</v>
      </c>
      <c r="D2624">
        <v>4</v>
      </c>
      <c r="E2624">
        <v>5</v>
      </c>
      <c r="F2624">
        <v>1</v>
      </c>
      <c r="G2624">
        <v>1</v>
      </c>
      <c r="H2624" s="1">
        <v>6.2731481481481484E-3</v>
      </c>
      <c r="I2624">
        <v>2018</v>
      </c>
      <c r="J2624" t="s">
        <v>1</v>
      </c>
      <c r="K2624" s="2" t="str">
        <f>HYPERLINK("https://www.nba.com/stats/events?CFID=&amp;CFPARAMS=&amp;GameEventID=40&amp;GameID=0021800019&amp;Season=2018-19&amp;flag=1&amp;title=Ibaka%201'%20Cutting%20Layup%20Shot%20(4%20PTS)%20(Leonard%201%20AST)", "Ibaka 1' Cutting Layup Shot (4 PTS) (Leonard 1 AST)")</f>
        <v>Ibaka 1' Cutting Layup Shot (4 PTS) (Leonard 1 AST)</v>
      </c>
      <c r="L2624" s="2" t="str">
        <f>HYPERLINK("https://www.nba.com/game/...-vs-...-0021800019/play-by-play?watchFullGame=true", "TOR vs BOS - Q1 09:02.00")</f>
        <v>TOR vs BOS - Q1 09:02.00</v>
      </c>
      <c r="M2624">
        <v>1</v>
      </c>
      <c r="N2624">
        <v>-13</v>
      </c>
      <c r="O2624">
        <v>-2</v>
      </c>
      <c r="P2624">
        <v>-13</v>
      </c>
      <c r="Q2624">
        <v>-2</v>
      </c>
      <c r="R2624" t="s">
        <v>0</v>
      </c>
      <c r="S2624" t="s">
        <v>0</v>
      </c>
      <c r="T2624" t="s">
        <v>0</v>
      </c>
    </row>
    <row r="2625" spans="1:20" x14ac:dyDescent="0.25">
      <c r="A2625">
        <v>21800293</v>
      </c>
      <c r="B2625" t="s">
        <v>4</v>
      </c>
      <c r="C2625" t="s">
        <v>19</v>
      </c>
      <c r="D2625">
        <v>26</v>
      </c>
      <c r="E2625">
        <v>24</v>
      </c>
      <c r="F2625">
        <v>2</v>
      </c>
      <c r="G2625">
        <v>1</v>
      </c>
      <c r="H2625" s="1">
        <v>1.3078703703703703E-3</v>
      </c>
      <c r="I2625">
        <v>2018</v>
      </c>
      <c r="J2625" t="s">
        <v>12</v>
      </c>
      <c r="K2625" s="2" t="str">
        <f>HYPERLINK("https://www.nba.com/stats/events?CFID=&amp;CFPARAMS=&amp;GameEventID=116&amp;GameID=0021800293&amp;Season=2018-19&amp;flag=1&amp;title=Lillard%2022'%20Pullup%20Jump%20Shot%20(10%20PTS)%20(Leonard%201%20AST)", "Lillard 22' Pullup Jump Shot (10 PTS) (Leonard 1 AST)")</f>
        <v>Lillard 22' Pullup Jump Shot (10 PTS) (Leonard 1 AST)</v>
      </c>
      <c r="L2625" s="2" t="str">
        <f>HYPERLINK("https://www.nba.com/game/...-vs-...-0021800293/play-by-play?watchFullGame=true", "POR vs LAC - Q1 01:53.00")</f>
        <v>POR vs LAC - Q1 01:53.00</v>
      </c>
      <c r="M2625">
        <v>22</v>
      </c>
      <c r="N2625">
        <v>-145</v>
      </c>
      <c r="O2625">
        <v>159</v>
      </c>
      <c r="P2625">
        <v>-145</v>
      </c>
      <c r="Q2625">
        <v>159</v>
      </c>
      <c r="R2625" t="s">
        <v>0</v>
      </c>
      <c r="S2625" t="s">
        <v>0</v>
      </c>
      <c r="T2625" t="s">
        <v>0</v>
      </c>
    </row>
    <row r="2626" spans="1:20" x14ac:dyDescent="0.25">
      <c r="A2626">
        <v>21800359</v>
      </c>
      <c r="B2626" t="s">
        <v>4</v>
      </c>
      <c r="C2626" t="s">
        <v>18</v>
      </c>
      <c r="D2626">
        <v>14</v>
      </c>
      <c r="E2626">
        <v>20</v>
      </c>
      <c r="F2626">
        <v>6</v>
      </c>
      <c r="G2626">
        <v>1</v>
      </c>
      <c r="H2626" s="1">
        <v>2.4189814814814816E-3</v>
      </c>
      <c r="I2626">
        <v>2018</v>
      </c>
      <c r="J2626" t="s">
        <v>1</v>
      </c>
      <c r="K2626" s="2" t="str">
        <f>HYPERLINK("https://www.nba.com/stats/events?CFID=&amp;CFPARAMS=&amp;GameEventID=109&amp;GameID=0021800359&amp;Season=2018-19&amp;flag=1&amp;title=Valanciunas%209'%20Hook%20Shot%20(2%20PTS)%20(Leonard%201%20AST)", "Valanciunas 9' Hook Shot (2 PTS) (Leonard 1 AST)")</f>
        <v>Valanciunas 9' Hook Shot (2 PTS) (Leonard 1 AST)</v>
      </c>
      <c r="L2626" s="2" t="str">
        <f>HYPERLINK("https://www.nba.com/game/...-vs-...-0021800359/play-by-play?watchFullGame=true", "TOR vs PHI - Q1 03:29.00")</f>
        <v>TOR vs PHI - Q1 03:29.00</v>
      </c>
      <c r="M2626">
        <v>9</v>
      </c>
      <c r="N2626">
        <v>91</v>
      </c>
      <c r="O2626">
        <v>12</v>
      </c>
      <c r="P2626">
        <v>91</v>
      </c>
      <c r="Q2626">
        <v>12</v>
      </c>
      <c r="R2626" t="s">
        <v>0</v>
      </c>
      <c r="S2626" t="s">
        <v>0</v>
      </c>
      <c r="T2626" t="s">
        <v>0</v>
      </c>
    </row>
    <row r="2627" spans="1:20" x14ac:dyDescent="0.25">
      <c r="A2627">
        <v>21800366</v>
      </c>
      <c r="B2627" t="s">
        <v>4</v>
      </c>
      <c r="C2627" t="s">
        <v>18</v>
      </c>
      <c r="D2627">
        <v>96</v>
      </c>
      <c r="E2627">
        <v>66</v>
      </c>
      <c r="F2627">
        <v>30</v>
      </c>
      <c r="G2627">
        <v>4</v>
      </c>
      <c r="H2627" s="1">
        <v>5.5555555555555558E-3</v>
      </c>
      <c r="I2627">
        <v>2018</v>
      </c>
      <c r="J2627" t="s">
        <v>12</v>
      </c>
      <c r="K2627" s="2" t="str">
        <f>HYPERLINK("https://www.nba.com/stats/events?CFID=&amp;CFPARAMS=&amp;GameEventID=542&amp;GameID=0021800366&amp;Season=2018-19&amp;flag=1&amp;title=Layman%206'%20Hook%20Shot%20(21%20PTS)%20(Leonard%202%20AST)", "Layman 6' Hook Shot (21 PTS) (Leonard 2 AST)")</f>
        <v>Layman 6' Hook Shot (21 PTS) (Leonard 2 AST)</v>
      </c>
      <c r="L2627" s="2" t="str">
        <f>HYPERLINK("https://www.nba.com/game/...-vs-...-0021800366/play-by-play?watchFullGame=true", "POR vs PHX - Q4 08:00.00")</f>
        <v>POR vs PHX - Q4 08:00.00</v>
      </c>
      <c r="M2627">
        <v>6</v>
      </c>
      <c r="N2627">
        <v>45</v>
      </c>
      <c r="O2627">
        <v>35</v>
      </c>
      <c r="P2627">
        <v>45</v>
      </c>
      <c r="Q2627">
        <v>35</v>
      </c>
      <c r="R2627" t="s">
        <v>0</v>
      </c>
      <c r="S2627" t="s">
        <v>0</v>
      </c>
      <c r="T2627" t="s">
        <v>0</v>
      </c>
    </row>
    <row r="2628" spans="1:20" x14ac:dyDescent="0.25">
      <c r="A2628">
        <v>21800427</v>
      </c>
      <c r="B2628" t="s">
        <v>4</v>
      </c>
      <c r="C2628" t="s">
        <v>17</v>
      </c>
      <c r="D2628">
        <v>50</v>
      </c>
      <c r="E2628">
        <v>58</v>
      </c>
      <c r="F2628">
        <v>8</v>
      </c>
      <c r="G2628">
        <v>2</v>
      </c>
      <c r="H2628" s="1">
        <v>2.5000000000000001E-4</v>
      </c>
      <c r="I2628">
        <v>2018</v>
      </c>
      <c r="J2628" t="s">
        <v>1</v>
      </c>
      <c r="K2628" s="2" t="str">
        <f>HYPERLINK("https://www.nba.com/stats/events?CFID=&amp;CFPARAMS=&amp;GameEventID=288&amp;GameID=0021800427&amp;Season=2018-19&amp;flag=1&amp;title=Ibaka%206'%20Floating%20Jump%20Shot%20(14%20PTS)%20(Leonard%202%20AST)", "Ibaka 6' Floating Jump Shot (14 PTS) (Leonard 2 AST)")</f>
        <v>Ibaka 6' Floating Jump Shot (14 PTS) (Leonard 2 AST)</v>
      </c>
      <c r="L2628" s="2" t="str">
        <f>HYPERLINK("https://www.nba.com/game/...-vs-...-0021800427/play-by-play?watchFullGame=true", "TOR vs POR - Q2 00:21.60")</f>
        <v>TOR vs POR - Q2 00:21.60</v>
      </c>
      <c r="M2628">
        <v>6</v>
      </c>
      <c r="N2628">
        <v>-2</v>
      </c>
      <c r="O2628">
        <v>59</v>
      </c>
      <c r="P2628">
        <v>-2</v>
      </c>
      <c r="Q2628">
        <v>59</v>
      </c>
      <c r="R2628" t="s">
        <v>0</v>
      </c>
      <c r="S2628" t="s">
        <v>0</v>
      </c>
      <c r="T2628" t="s">
        <v>0</v>
      </c>
    </row>
    <row r="2629" spans="1:20" x14ac:dyDescent="0.25">
      <c r="A2629">
        <v>21800580</v>
      </c>
      <c r="B2629" t="s">
        <v>10</v>
      </c>
      <c r="C2629" t="s">
        <v>9</v>
      </c>
      <c r="D2629">
        <v>76</v>
      </c>
      <c r="E2629">
        <v>64</v>
      </c>
      <c r="F2629">
        <v>12</v>
      </c>
      <c r="G2629">
        <v>3</v>
      </c>
      <c r="H2629" s="1">
        <v>3.9467592592592592E-3</v>
      </c>
      <c r="I2629">
        <v>2018</v>
      </c>
      <c r="J2629" t="s">
        <v>1</v>
      </c>
      <c r="K2629" s="2" t="str">
        <f>HYPERLINK("https://www.nba.com/stats/events?CFID=&amp;CFPARAMS=&amp;GameEventID=391&amp;GameID=0021800580&amp;Season=2018-19&amp;flag=1&amp;title=Siakam%2029'%203PT%20Jump%20Shot%20(14%20PTS)%20(Leonard%203%20AST)", "Siakam 29' 3PT Jump Shot (14 PTS) (Leonard 3 AST)")</f>
        <v>Siakam 29' 3PT Jump Shot (14 PTS) (Leonard 3 AST)</v>
      </c>
      <c r="L2629" s="2" t="str">
        <f>HYPERLINK("https://www.nba.com/game/...-vs-...-0021800580/play-by-play?watchFullGame=true", "TOR vs MIL - Q3 05:41.00")</f>
        <v>TOR vs MIL - Q3 05:41.00</v>
      </c>
      <c r="M2629">
        <v>29</v>
      </c>
      <c r="N2629">
        <v>27</v>
      </c>
      <c r="O2629">
        <v>285</v>
      </c>
      <c r="P2629">
        <v>27</v>
      </c>
      <c r="Q2629">
        <v>285</v>
      </c>
      <c r="R2629" t="s">
        <v>0</v>
      </c>
      <c r="S2629" t="s">
        <v>0</v>
      </c>
      <c r="T2629" t="s">
        <v>0</v>
      </c>
    </row>
    <row r="2630" spans="1:20" x14ac:dyDescent="0.25">
      <c r="A2630">
        <v>21800597</v>
      </c>
      <c r="B2630" t="s">
        <v>4</v>
      </c>
      <c r="C2630" t="s">
        <v>6</v>
      </c>
      <c r="D2630">
        <v>43</v>
      </c>
      <c r="E2630">
        <v>45</v>
      </c>
      <c r="F2630">
        <v>2</v>
      </c>
      <c r="G2630">
        <v>2</v>
      </c>
      <c r="H2630" s="1">
        <v>5.2430555555555555E-3</v>
      </c>
      <c r="I2630">
        <v>2018</v>
      </c>
      <c r="J2630" t="s">
        <v>12</v>
      </c>
      <c r="K2630" s="2" t="str">
        <f>HYPERLINK("https://www.nba.com/stats/events?CFID=&amp;CFPARAMS=&amp;GameEventID=220&amp;GameID=0021800597&amp;Season=2018-19&amp;flag=1&amp;title=Layman%201'%20Cutting%20Dunk%20Shot%20(7%20PTS)%20(Leonard%203%20AST)", "Layman 1' Cutting Dunk Shot (7 PTS) (Leonard 3 AST)")</f>
        <v>Layman 1' Cutting Dunk Shot (7 PTS) (Leonard 3 AST)</v>
      </c>
      <c r="L2630" s="2" t="str">
        <f>HYPERLINK("https://www.nba.com/game/...-vs-...-0021800597/play-by-play?watchFullGame=true", "POR vs NYK - Q2 07:33.00")</f>
        <v>POR vs NYK - Q2 07:33.00</v>
      </c>
      <c r="M2630">
        <v>1</v>
      </c>
      <c r="N2630">
        <v>3</v>
      </c>
      <c r="O2630">
        <v>13</v>
      </c>
      <c r="P2630">
        <v>3</v>
      </c>
      <c r="Q2630">
        <v>13</v>
      </c>
      <c r="R2630" t="s">
        <v>0</v>
      </c>
      <c r="S2630" t="s">
        <v>0</v>
      </c>
      <c r="T2630" t="s">
        <v>0</v>
      </c>
    </row>
    <row r="2631" spans="1:20" x14ac:dyDescent="0.25">
      <c r="A2631">
        <v>21800639</v>
      </c>
      <c r="B2631" t="s">
        <v>4</v>
      </c>
      <c r="C2631" t="s">
        <v>16</v>
      </c>
      <c r="D2631">
        <v>7</v>
      </c>
      <c r="E2631">
        <v>0</v>
      </c>
      <c r="F2631">
        <v>7</v>
      </c>
      <c r="G2631">
        <v>1</v>
      </c>
      <c r="H2631" s="1">
        <v>7.0949074074074074E-3</v>
      </c>
      <c r="I2631">
        <v>2018</v>
      </c>
      <c r="J2631" t="s">
        <v>1</v>
      </c>
      <c r="K2631" s="2" t="str">
        <f>HYPERLINK("https://www.nba.com/stats/events?CFID=&amp;CFPARAMS=&amp;GameEventID=24&amp;GameID=0021800639&amp;Season=2018-19&amp;flag=1&amp;title=Siakam%203'%20Running%20Dunk%20(2%20PTS)%20(Leonard%201%20AST)", "Siakam 3' Running Dunk (2 PTS) (Leonard 1 AST)")</f>
        <v>Siakam 3' Running Dunk (2 PTS) (Leonard 1 AST)</v>
      </c>
      <c r="L2631" s="2" t="str">
        <f>HYPERLINK("https://www.nba.com/game/...-vs-...-0021800639/play-by-play?watchFullGame=true", "TOR vs WAS - Q1 10:13.00")</f>
        <v>TOR vs WAS - Q1 10:13.00</v>
      </c>
      <c r="M2631">
        <v>3</v>
      </c>
      <c r="N2631">
        <v>11</v>
      </c>
      <c r="O2631">
        <v>29</v>
      </c>
      <c r="P2631">
        <v>11</v>
      </c>
      <c r="Q2631">
        <v>29</v>
      </c>
      <c r="R2631" t="s">
        <v>0</v>
      </c>
      <c r="S2631" t="s">
        <v>0</v>
      </c>
      <c r="T2631" t="s">
        <v>0</v>
      </c>
    </row>
    <row r="2632" spans="1:20" x14ac:dyDescent="0.25">
      <c r="A2632">
        <v>21800703</v>
      </c>
      <c r="B2632" t="s">
        <v>4</v>
      </c>
      <c r="C2632" t="s">
        <v>9</v>
      </c>
      <c r="D2632">
        <v>98</v>
      </c>
      <c r="E2632">
        <v>104</v>
      </c>
      <c r="F2632">
        <v>6</v>
      </c>
      <c r="G2632">
        <v>4</v>
      </c>
      <c r="H2632" s="1">
        <v>5.1736111111111115E-3</v>
      </c>
      <c r="I2632">
        <v>2018</v>
      </c>
      <c r="J2632" t="s">
        <v>12</v>
      </c>
      <c r="K2632" s="2" t="str">
        <f>HYPERLINK("https://www.nba.com/stats/events?CFID=&amp;CFPARAMS=&amp;GameEventID=549&amp;GameID=0021800703&amp;Season=2018-19&amp;flag=1&amp;title=Nurkic%2019'%20Jump%20Shot%20(20%20PTS)%20(Leonard%201%20AST)", "Nurkic 19' Jump Shot (20 PTS) (Leonard 1 AST)")</f>
        <v>Nurkic 19' Jump Shot (20 PTS) (Leonard 1 AST)</v>
      </c>
      <c r="L2632" s="2" t="str">
        <f>HYPERLINK("https://www.nba.com/game/...-vs-...-0021800703/play-by-play?watchFullGame=true", "POR vs OKC - Q4 07:27.00")</f>
        <v>POR vs OKC - Q4 07:27.00</v>
      </c>
      <c r="M2632">
        <v>19</v>
      </c>
      <c r="N2632">
        <v>-126</v>
      </c>
      <c r="O2632">
        <v>147</v>
      </c>
      <c r="P2632">
        <v>-126</v>
      </c>
      <c r="Q2632">
        <v>147</v>
      </c>
      <c r="R2632" t="s">
        <v>0</v>
      </c>
      <c r="S2632" t="s">
        <v>0</v>
      </c>
      <c r="T2632" t="s">
        <v>0</v>
      </c>
    </row>
    <row r="2633" spans="1:20" x14ac:dyDescent="0.25">
      <c r="A2633">
        <v>21800876</v>
      </c>
      <c r="B2633" t="s">
        <v>10</v>
      </c>
      <c r="C2633" t="s">
        <v>9</v>
      </c>
      <c r="D2633">
        <v>106</v>
      </c>
      <c r="E2633">
        <v>100</v>
      </c>
      <c r="F2633">
        <v>6</v>
      </c>
      <c r="G2633">
        <v>4</v>
      </c>
      <c r="H2633" s="1">
        <v>4.178240740740741E-3</v>
      </c>
      <c r="I2633">
        <v>2018</v>
      </c>
      <c r="J2633" t="s">
        <v>1</v>
      </c>
      <c r="K2633" s="2" t="str">
        <f>HYPERLINK("https://www.nba.com/stats/events?CFID=&amp;CFPARAMS=&amp;GameEventID=582&amp;GameID=0021800876&amp;Season=2018-19&amp;flag=1&amp;title=Anunoby%2027'%203PT%20Jump%20Shot%20(9%20PTS)%20(Leonard%202%20AST)", "Anunoby 27' 3PT Jump Shot (9 PTS) (Leonard 2 AST)")</f>
        <v>Anunoby 27' 3PT Jump Shot (9 PTS) (Leonard 2 AST)</v>
      </c>
      <c r="L2633" s="2" t="str">
        <f>HYPERLINK("https://www.nba.com/game/...-vs-...-0021800876/play-by-play?watchFullGame=true", "TOR vs SAS - Q4 06:01.00")</f>
        <v>TOR vs SAS - Q4 06:01.00</v>
      </c>
      <c r="M2633">
        <v>27</v>
      </c>
      <c r="N2633">
        <v>-133</v>
      </c>
      <c r="O2633">
        <v>236</v>
      </c>
      <c r="P2633">
        <v>-133</v>
      </c>
      <c r="Q2633">
        <v>236</v>
      </c>
      <c r="R2633" t="s">
        <v>0</v>
      </c>
      <c r="S2633" t="s">
        <v>0</v>
      </c>
      <c r="T2633" t="s">
        <v>0</v>
      </c>
    </row>
    <row r="2634" spans="1:20" x14ac:dyDescent="0.25">
      <c r="A2634">
        <v>21801023</v>
      </c>
      <c r="B2634" t="s">
        <v>10</v>
      </c>
      <c r="C2634" t="s">
        <v>3</v>
      </c>
      <c r="D2634">
        <v>59</v>
      </c>
      <c r="E2634">
        <v>52</v>
      </c>
      <c r="F2634">
        <v>7</v>
      </c>
      <c r="G2634">
        <v>2</v>
      </c>
      <c r="H2634" s="1">
        <v>1.4699074074074074E-3</v>
      </c>
      <c r="I2634">
        <v>2018</v>
      </c>
      <c r="J2634" t="s">
        <v>1</v>
      </c>
      <c r="K2634" s="2" t="str">
        <f>HYPERLINK("https://www.nba.com/stats/events?CFID=&amp;CFPARAMS=&amp;GameEventID=327&amp;GameID=0021801023&amp;Season=2018-19&amp;flag=1&amp;title=Green%203PT%20Running%20Jump%20Shot%20(3%20PTS)%20(Leonard%204%20AST)", "Green 3PT Running Jump Shot (3 PTS) (Leonard 4 AST)")</f>
        <v>Green 3PT Running Jump Shot (3 PTS) (Leonard 4 AST)</v>
      </c>
      <c r="L2634" s="2" t="str">
        <f>HYPERLINK("https://www.nba.com/game/...-vs-...-0021801023/play-by-play?watchFullGame=true", "TOR vs LAL - Q2 02:07.00")</f>
        <v>TOR vs LAL - Q2 02:07.00</v>
      </c>
      <c r="M2634">
        <v>0</v>
      </c>
      <c r="N2634">
        <v>227</v>
      </c>
      <c r="O2634">
        <v>21</v>
      </c>
      <c r="P2634">
        <v>227</v>
      </c>
      <c r="Q2634">
        <v>21</v>
      </c>
      <c r="R2634" t="s">
        <v>0</v>
      </c>
      <c r="S2634" t="s">
        <v>0</v>
      </c>
      <c r="T2634" t="s">
        <v>0</v>
      </c>
    </row>
    <row r="2635" spans="1:20" x14ac:dyDescent="0.25">
      <c r="A2635">
        <v>21801117</v>
      </c>
      <c r="B2635" t="s">
        <v>10</v>
      </c>
      <c r="C2635" t="s">
        <v>9</v>
      </c>
      <c r="D2635">
        <v>47</v>
      </c>
      <c r="E2635">
        <v>30</v>
      </c>
      <c r="F2635">
        <v>17</v>
      </c>
      <c r="G2635">
        <v>2</v>
      </c>
      <c r="H2635" s="1">
        <v>4.7106481481481478E-3</v>
      </c>
      <c r="I2635">
        <v>2018</v>
      </c>
      <c r="J2635" t="s">
        <v>12</v>
      </c>
      <c r="K2635" s="2" t="str">
        <f>HYPERLINK("https://www.nba.com/stats/events?CFID=&amp;CFPARAMS=&amp;GameEventID=209&amp;GameID=0021801117&amp;Season=2018-19&amp;flag=1&amp;title=Curry%2027'%203PT%20Jump%20Shot%20(10%20PTS)%20(Leonard%202%20AST)", "Curry 27' 3PT Jump Shot (10 PTS) (Leonard 2 AST)")</f>
        <v>Curry 27' 3PT Jump Shot (10 PTS) (Leonard 2 AST)</v>
      </c>
      <c r="L2635" s="2" t="str">
        <f>HYPERLINK("https://www.nba.com/game/...-vs-...-0021801117/play-by-play?watchFullGame=true", "POR vs CHI - Q2 06:47.00")</f>
        <v>POR vs CHI - Q2 06:47.00</v>
      </c>
      <c r="M2635">
        <v>27</v>
      </c>
      <c r="N2635">
        <v>107</v>
      </c>
      <c r="O2635">
        <v>253</v>
      </c>
      <c r="P2635">
        <v>107</v>
      </c>
      <c r="Q2635">
        <v>253</v>
      </c>
      <c r="R2635" t="s">
        <v>0</v>
      </c>
      <c r="S2635" t="s">
        <v>0</v>
      </c>
      <c r="T2635" t="s">
        <v>0</v>
      </c>
    </row>
    <row r="2636" spans="1:20" x14ac:dyDescent="0.25">
      <c r="A2636">
        <v>41300146</v>
      </c>
      <c r="B2636" t="s">
        <v>4</v>
      </c>
      <c r="C2636" t="s">
        <v>9</v>
      </c>
      <c r="D2636">
        <v>10</v>
      </c>
      <c r="E2636">
        <v>9</v>
      </c>
      <c r="F2636">
        <v>1</v>
      </c>
      <c r="G2636">
        <v>1</v>
      </c>
      <c r="H2636" s="1">
        <v>6.0416666666666665E-3</v>
      </c>
      <c r="I2636" t="s">
        <v>15</v>
      </c>
      <c r="J2636" t="s">
        <v>7</v>
      </c>
      <c r="K2636" s="2" t="str">
        <f>HYPERLINK("https://www.nba.com/stats/events?CFID=&amp;CFPARAMS=&amp;GameEventID=21&amp;GameID=0041300146&amp;Season=2013-14&amp;flag=1&amp;title=Parker%2019'%20Jump%20Shot%20(2%20PTS)%20(Leonard%201%20AST)", "Parker 19' Jump Shot (2 PTS) (Leonard 1 AST)")</f>
        <v>Parker 19' Jump Shot (2 PTS) (Leonard 1 AST)</v>
      </c>
      <c r="L2636" s="2" t="str">
        <f>HYPERLINK("https://www.nba.com/game/...-vs-...-0041300146/play-by-play?watchFullGame=true", "SAS vs DAL - Q1 08:42.00")</f>
        <v>SAS vs DAL - Q1 08:42.00</v>
      </c>
      <c r="M2636">
        <v>19</v>
      </c>
      <c r="N2636">
        <v>-180</v>
      </c>
      <c r="O2636">
        <v>74</v>
      </c>
      <c r="P2636">
        <v>-180</v>
      </c>
      <c r="Q2636">
        <v>74</v>
      </c>
      <c r="R2636" t="s">
        <v>0</v>
      </c>
      <c r="S2636" t="s">
        <v>0</v>
      </c>
      <c r="T2636" t="s">
        <v>0</v>
      </c>
    </row>
    <row r="2637" spans="1:20" x14ac:dyDescent="0.25">
      <c r="A2637">
        <v>41300313</v>
      </c>
      <c r="B2637" t="s">
        <v>4</v>
      </c>
      <c r="C2637" t="s">
        <v>5</v>
      </c>
      <c r="D2637">
        <v>61</v>
      </c>
      <c r="E2637">
        <v>69</v>
      </c>
      <c r="F2637">
        <v>8</v>
      </c>
      <c r="G2637">
        <v>3</v>
      </c>
      <c r="H2637" s="1">
        <v>5.0231481481481481E-3</v>
      </c>
      <c r="I2637" t="s">
        <v>15</v>
      </c>
      <c r="J2637" t="s">
        <v>7</v>
      </c>
      <c r="K2637" s="2" t="str">
        <f>HYPERLINK("https://www.nba.com/stats/events?CFID=&amp;CFPARAMS=&amp;GameEventID=299&amp;GameID=0041300313&amp;Season=2013-14&amp;flag=1&amp;title=Duncan%203'%20Layup%20(14%20PTS)%20(Leonard%202%20AST)", "Duncan 3' Layup (14 PTS) (Leonard 2 AST)")</f>
        <v>Duncan 3' Layup (14 PTS) (Leonard 2 AST)</v>
      </c>
      <c r="L2637" s="2" t="str">
        <f>HYPERLINK("https://www.nba.com/game/...-vs-...-0041300313/play-by-play?watchFullGame=true", "SAS vs OKC - Q3 07:14.00")</f>
        <v>SAS vs OKC - Q3 07:14.00</v>
      </c>
      <c r="M2637">
        <v>3</v>
      </c>
      <c r="N2637">
        <v>-26</v>
      </c>
      <c r="O2637">
        <v>-2</v>
      </c>
      <c r="P2637">
        <v>-26</v>
      </c>
      <c r="Q2637">
        <v>-2</v>
      </c>
      <c r="R2637" t="s">
        <v>0</v>
      </c>
      <c r="S2637" t="s">
        <v>0</v>
      </c>
      <c r="T2637" t="s">
        <v>0</v>
      </c>
    </row>
    <row r="2638" spans="1:20" x14ac:dyDescent="0.25">
      <c r="A2638">
        <v>41300403</v>
      </c>
      <c r="B2638" t="s">
        <v>4</v>
      </c>
      <c r="C2638" t="s">
        <v>9</v>
      </c>
      <c r="D2638">
        <v>66</v>
      </c>
      <c r="E2638">
        <v>48</v>
      </c>
      <c r="F2638">
        <v>18</v>
      </c>
      <c r="G2638">
        <v>2</v>
      </c>
      <c r="H2638" s="1">
        <v>1.2037037037037038E-3</v>
      </c>
      <c r="I2638" t="s">
        <v>15</v>
      </c>
      <c r="J2638" t="s">
        <v>7</v>
      </c>
      <c r="K2638" s="2" t="str">
        <f>HYPERLINK("https://www.nba.com/stats/events?CFID=&amp;CFPARAMS=&amp;GameEventID=209&amp;GameID=0041300403&amp;Season=2013-14&amp;flag=1&amp;title=Parker%2020'%20Jump%20Shot%20(6%20PTS)%20(Leonard%201%20AST)", "Parker 20' Jump Shot (6 PTS) (Leonard 1 AST)")</f>
        <v>Parker 20' Jump Shot (6 PTS) (Leonard 1 AST)</v>
      </c>
      <c r="L2638" s="2" t="str">
        <f>HYPERLINK("https://www.nba.com/game/...-vs-...-0041300403/play-by-play?watchFullGame=true", "SAS vs MIA - Q2 01:44.00")</f>
        <v>SAS vs MIA - Q2 01:44.00</v>
      </c>
      <c r="M2638">
        <v>20</v>
      </c>
      <c r="N2638">
        <v>-142</v>
      </c>
      <c r="O2638">
        <v>143</v>
      </c>
      <c r="P2638">
        <v>-142</v>
      </c>
      <c r="Q2638">
        <v>143</v>
      </c>
      <c r="R2638" t="s">
        <v>0</v>
      </c>
      <c r="S2638" t="s">
        <v>0</v>
      </c>
      <c r="T2638" t="s">
        <v>0</v>
      </c>
    </row>
    <row r="2639" spans="1:20" x14ac:dyDescent="0.25">
      <c r="A2639">
        <v>41400161</v>
      </c>
      <c r="B2639" t="s">
        <v>10</v>
      </c>
      <c r="C2639" t="s">
        <v>9</v>
      </c>
      <c r="D2639">
        <v>57</v>
      </c>
      <c r="E2639">
        <v>66</v>
      </c>
      <c r="F2639">
        <v>9</v>
      </c>
      <c r="G2639">
        <v>3</v>
      </c>
      <c r="H2639" s="1">
        <v>2.0717592592592593E-3</v>
      </c>
      <c r="I2639" t="s">
        <v>13</v>
      </c>
      <c r="J2639" t="s">
        <v>7</v>
      </c>
      <c r="K2639" s="2" t="str">
        <f>HYPERLINK("https://www.nba.com/stats/events?CFID=&amp;CFPARAMS=&amp;GameEventID=427&amp;GameID=0041400161&amp;Season=2014-15&amp;flag=1&amp;title=Ginobili%2024'%203PT%20Jump%20Shot%20(8%20PTS)%20(Leonard%202%20AST)", "Ginobili 24' 3PT Jump Shot (8 PTS) (Leonard 2 AST)")</f>
        <v>Ginobili 24' 3PT Jump Shot (8 PTS) (Leonard 2 AST)</v>
      </c>
      <c r="L2639" s="2" t="str">
        <f>HYPERLINK("https://www.nba.com/game/...-vs-...-0041400161/play-by-play?watchFullGame=true", "SAS vs LAC - Q3 02:59.00")</f>
        <v>SAS vs LAC - Q3 02:59.00</v>
      </c>
      <c r="M2639">
        <v>24</v>
      </c>
      <c r="N2639">
        <v>-188</v>
      </c>
      <c r="O2639">
        <v>154</v>
      </c>
      <c r="P2639">
        <v>-188</v>
      </c>
      <c r="Q2639">
        <v>154</v>
      </c>
      <c r="R2639" t="s">
        <v>0</v>
      </c>
      <c r="S2639" t="s">
        <v>0</v>
      </c>
      <c r="T2639" t="s">
        <v>0</v>
      </c>
    </row>
    <row r="2640" spans="1:20" x14ac:dyDescent="0.25">
      <c r="A2640">
        <v>41400175</v>
      </c>
      <c r="B2640" t="s">
        <v>10</v>
      </c>
      <c r="C2640" t="s">
        <v>14</v>
      </c>
      <c r="D2640">
        <v>84</v>
      </c>
      <c r="E2640">
        <v>91</v>
      </c>
      <c r="F2640">
        <v>7</v>
      </c>
      <c r="G2640">
        <v>4</v>
      </c>
      <c r="H2640" s="1">
        <v>5.0462962962962961E-4</v>
      </c>
      <c r="I2640" t="s">
        <v>13</v>
      </c>
      <c r="J2640" t="s">
        <v>12</v>
      </c>
      <c r="K2640" s="2" t="str">
        <f>HYPERLINK("https://www.nba.com/stats/events?CFID=&amp;CFPARAMS=&amp;GameEventID=493&amp;GameID=0041400175&amp;Season=2014-15&amp;flag=1&amp;title=McCollum%203PT%20Step%20Back%20Jump%20Shot%20(33%20PTS)%20(Leonard%201%20AST)", "McCollum 3PT Step Back Jump Shot (33 PTS) (Leonard 1 AST)")</f>
        <v>McCollum 3PT Step Back Jump Shot (33 PTS) (Leonard 1 AST)</v>
      </c>
      <c r="L2640" s="2" t="str">
        <f>HYPERLINK("https://www.nba.com/game/...-vs-...-0041400175/play-by-play?watchFullGame=true", "POR vs MEM - Q4 00:43.60")</f>
        <v>POR vs MEM - Q4 00:43.60</v>
      </c>
      <c r="M2640">
        <v>0</v>
      </c>
      <c r="N2640">
        <v>-231</v>
      </c>
      <c r="O2640">
        <v>0</v>
      </c>
      <c r="P2640">
        <v>-231</v>
      </c>
      <c r="Q2640">
        <v>0</v>
      </c>
      <c r="R2640" t="s">
        <v>0</v>
      </c>
      <c r="S2640" t="s">
        <v>0</v>
      </c>
      <c r="T2640" t="s">
        <v>0</v>
      </c>
    </row>
    <row r="2641" spans="1:20" x14ac:dyDescent="0.25">
      <c r="A2641">
        <v>41500235</v>
      </c>
      <c r="B2641" t="s">
        <v>10</v>
      </c>
      <c r="C2641" t="s">
        <v>9</v>
      </c>
      <c r="D2641">
        <v>10</v>
      </c>
      <c r="E2641">
        <v>11</v>
      </c>
      <c r="F2641">
        <v>1</v>
      </c>
      <c r="G2641">
        <v>1</v>
      </c>
      <c r="H2641" s="1">
        <v>3.9004629629629628E-3</v>
      </c>
      <c r="I2641" t="s">
        <v>11</v>
      </c>
      <c r="J2641" t="s">
        <v>7</v>
      </c>
      <c r="K2641" s="2" t="str">
        <f>HYPERLINK("https://www.nba.com/stats/events?CFID=&amp;CFPARAMS=&amp;GameEventID=67&amp;GameID=0041500235&amp;Season=2015-16&amp;flag=1&amp;title=Ginobili%2024'%203PT%20Jump%20Shot%20(3%20PTS)%20(Leonard%202%20AST)", "Ginobili 24' 3PT Jump Shot (3 PTS) (Leonard 2 AST)")</f>
        <v>Ginobili 24' 3PT Jump Shot (3 PTS) (Leonard 2 AST)</v>
      </c>
      <c r="L2641" s="2" t="str">
        <f>HYPERLINK("https://www.nba.com/game/...-vs-...-0041500235/play-by-play?watchFullGame=true", "SAS vs OKC - Q1 05:37.00")</f>
        <v>SAS vs OKC - Q1 05:37.00</v>
      </c>
      <c r="M2641">
        <v>24</v>
      </c>
      <c r="N2641">
        <v>28</v>
      </c>
      <c r="O2641">
        <v>242</v>
      </c>
      <c r="P2641">
        <v>28</v>
      </c>
      <c r="Q2641">
        <v>242</v>
      </c>
      <c r="R2641" t="s">
        <v>0</v>
      </c>
      <c r="S2641" t="s">
        <v>0</v>
      </c>
      <c r="T2641" t="s">
        <v>0</v>
      </c>
    </row>
    <row r="2642" spans="1:20" x14ac:dyDescent="0.25">
      <c r="A2642">
        <v>41600232</v>
      </c>
      <c r="B2642" t="s">
        <v>10</v>
      </c>
      <c r="C2642" t="s">
        <v>9</v>
      </c>
      <c r="D2642">
        <v>114</v>
      </c>
      <c r="E2642">
        <v>88</v>
      </c>
      <c r="F2642">
        <v>26</v>
      </c>
      <c r="G2642">
        <v>4</v>
      </c>
      <c r="H2642" s="1">
        <v>2.9861111111111113E-3</v>
      </c>
      <c r="I2642" t="s">
        <v>8</v>
      </c>
      <c r="J2642" t="s">
        <v>7</v>
      </c>
      <c r="K2642" s="2" t="str">
        <f>HYPERLINK("https://www.nba.com/stats/events?CFID=&amp;CFPARAMS=&amp;GameEventID=423&amp;GameID=0041600232&amp;Season=2016-17&amp;flag=1&amp;title=Simmons%2026'%203PT%20Jump%20Shot%20(12%20PTS)%20(Leonard%208%20AST)", "Simmons 26' 3PT Jump Shot (12 PTS) (Leonard 8 AST)")</f>
        <v>Simmons 26' 3PT Jump Shot (12 PTS) (Leonard 8 AST)</v>
      </c>
      <c r="L2642" s="2" t="str">
        <f>HYPERLINK("https://www.nba.com/game/...-vs-...-0041600232/play-by-play?watchFullGame=true", "SAS vs HOU - Q4 04:18.00")</f>
        <v>SAS vs HOU - Q4 04:18.00</v>
      </c>
      <c r="M2642">
        <v>26</v>
      </c>
      <c r="N2642">
        <v>-155</v>
      </c>
      <c r="O2642">
        <v>203</v>
      </c>
      <c r="P2642">
        <v>-155</v>
      </c>
      <c r="Q2642">
        <v>203</v>
      </c>
      <c r="R2642" t="s">
        <v>0</v>
      </c>
      <c r="S2642" t="s">
        <v>0</v>
      </c>
      <c r="T2642" t="s">
        <v>0</v>
      </c>
    </row>
    <row r="2643" spans="1:20" x14ac:dyDescent="0.25">
      <c r="A2643">
        <v>41600233</v>
      </c>
      <c r="B2643" t="s">
        <v>10</v>
      </c>
      <c r="C2643" t="s">
        <v>9</v>
      </c>
      <c r="D2643">
        <v>55</v>
      </c>
      <c r="E2643">
        <v>45</v>
      </c>
      <c r="F2643">
        <v>10</v>
      </c>
      <c r="G2643">
        <v>3</v>
      </c>
      <c r="H2643" s="1">
        <v>5.4166666666666669E-3</v>
      </c>
      <c r="I2643" t="s">
        <v>8</v>
      </c>
      <c r="J2643" t="s">
        <v>7</v>
      </c>
      <c r="K2643" s="2" t="str">
        <f>HYPERLINK("https://www.nba.com/stats/events?CFID=&amp;CFPARAMS=&amp;GameEventID=290&amp;GameID=0041600233&amp;Season=2016-17&amp;flag=1&amp;title=Green%2025'%203PT%20Jump%20Shot%20(5%20PTS)%20(Leonard%205%20AST)", "Green 25' 3PT Jump Shot (5 PTS) (Leonard 5 AST)")</f>
        <v>Green 25' 3PT Jump Shot (5 PTS) (Leonard 5 AST)</v>
      </c>
      <c r="L2643" s="2" t="str">
        <f>HYPERLINK("https://www.nba.com/game/...-vs-...-0041600233/play-by-play?watchFullGame=true", "SAS vs HOU - Q3 07:48.00")</f>
        <v>SAS vs HOU - Q3 07:48.00</v>
      </c>
      <c r="M2643">
        <v>25</v>
      </c>
      <c r="N2643">
        <v>-122</v>
      </c>
      <c r="O2643">
        <v>218</v>
      </c>
      <c r="P2643">
        <v>-122</v>
      </c>
      <c r="Q2643">
        <v>218</v>
      </c>
      <c r="R2643" t="s">
        <v>0</v>
      </c>
      <c r="S2643" t="s">
        <v>0</v>
      </c>
      <c r="T2643" t="s">
        <v>0</v>
      </c>
    </row>
    <row r="2644" spans="1:20" x14ac:dyDescent="0.25">
      <c r="A2644">
        <v>41600235</v>
      </c>
      <c r="B2644" t="s">
        <v>10</v>
      </c>
      <c r="C2644" t="s">
        <v>9</v>
      </c>
      <c r="D2644">
        <v>97</v>
      </c>
      <c r="E2644">
        <v>99</v>
      </c>
      <c r="F2644">
        <v>2</v>
      </c>
      <c r="G2644">
        <v>4</v>
      </c>
      <c r="H2644" s="1">
        <v>1.5856481481481481E-3</v>
      </c>
      <c r="I2644" t="s">
        <v>8</v>
      </c>
      <c r="J2644" t="s">
        <v>7</v>
      </c>
      <c r="K2644" s="2" t="str">
        <f>HYPERLINK("https://www.nba.com/stats/events?CFID=&amp;CFPARAMS=&amp;GameEventID=493&amp;GameID=0041600235&amp;Season=2016-17&amp;flag=1&amp;title=Mills%2025'%203PT%20Jump%20Shot%20(20%20PTS)%20(Leonard%204%20AST)", "Mills 25' 3PT Jump Shot (20 PTS) (Leonard 4 AST)")</f>
        <v>Mills 25' 3PT Jump Shot (20 PTS) (Leonard 4 AST)</v>
      </c>
      <c r="L2644" s="2" t="str">
        <f>HYPERLINK("https://www.nba.com/game/...-vs-...-0041600235/play-by-play?watchFullGame=true", "SAS vs HOU - Q4 02:17.00")</f>
        <v>SAS vs HOU - Q4 02:17.00</v>
      </c>
      <c r="M2644">
        <v>25</v>
      </c>
      <c r="N2644">
        <v>-181</v>
      </c>
      <c r="O2644">
        <v>178</v>
      </c>
      <c r="P2644">
        <v>-181</v>
      </c>
      <c r="Q2644">
        <v>178</v>
      </c>
      <c r="R2644" t="s">
        <v>0</v>
      </c>
      <c r="S2644" t="s">
        <v>0</v>
      </c>
      <c r="T2644" t="s">
        <v>0</v>
      </c>
    </row>
    <row r="2645" spans="1:20" x14ac:dyDescent="0.25">
      <c r="A2645">
        <v>41600311</v>
      </c>
      <c r="B2645" t="s">
        <v>4</v>
      </c>
      <c r="C2645" t="s">
        <v>5</v>
      </c>
      <c r="D2645">
        <v>48</v>
      </c>
      <c r="E2645">
        <v>32</v>
      </c>
      <c r="F2645">
        <v>16</v>
      </c>
      <c r="G2645">
        <v>2</v>
      </c>
      <c r="H2645" s="1">
        <v>3.0439814814814813E-3</v>
      </c>
      <c r="I2645" t="s">
        <v>8</v>
      </c>
      <c r="J2645" t="s">
        <v>7</v>
      </c>
      <c r="K2645" s="2" t="str">
        <f>HYPERLINK("https://www.nba.com/stats/events?CFID=&amp;CFPARAMS=&amp;GameEventID=227&amp;GameID=0041600311&amp;Season=2016-17&amp;flag=1&amp;title=Aldridge%201'%20Layup%20(13%20PTS)%20(Leonard%201%20AST)", "Aldridge 1' Layup (13 PTS) (Leonard 1 AST)")</f>
        <v>Aldridge 1' Layup (13 PTS) (Leonard 1 AST)</v>
      </c>
      <c r="L2645" s="2" t="str">
        <f>HYPERLINK("https://www.nba.com/game/...-vs-...-0041600311/play-by-play?watchFullGame=true", "SAS vs GSW - Q2 04:23.00")</f>
        <v>SAS vs GSW - Q2 04:23.00</v>
      </c>
      <c r="M2645">
        <v>1</v>
      </c>
      <c r="N2645">
        <v>4</v>
      </c>
      <c r="O2645">
        <v>11</v>
      </c>
      <c r="P2645">
        <v>4</v>
      </c>
      <c r="Q2645">
        <v>11</v>
      </c>
      <c r="R2645" t="s">
        <v>0</v>
      </c>
      <c r="S2645" t="s">
        <v>0</v>
      </c>
      <c r="T2645" t="s">
        <v>0</v>
      </c>
    </row>
    <row r="2646" spans="1:20" x14ac:dyDescent="0.25">
      <c r="A2646">
        <v>41800214</v>
      </c>
      <c r="B2646" t="s">
        <v>4</v>
      </c>
      <c r="C2646" t="s">
        <v>6</v>
      </c>
      <c r="D2646">
        <v>73</v>
      </c>
      <c r="E2646">
        <v>72</v>
      </c>
      <c r="F2646">
        <v>1</v>
      </c>
      <c r="G2646">
        <v>3</v>
      </c>
      <c r="H2646" s="1">
        <v>9.9537037037037042E-4</v>
      </c>
      <c r="I2646" t="s">
        <v>2</v>
      </c>
      <c r="J2646" t="s">
        <v>1</v>
      </c>
      <c r="K2646" s="2" t="str">
        <f>HYPERLINK("https://www.nba.com/stats/events?CFID=&amp;CFPARAMS=&amp;GameEventID=451&amp;GameID=0041800214&amp;Season=2018-19&amp;flag=1&amp;title=Gasol%203'%20Cutting%20Dunk%20Shot%20(11%20PTS)%20(Leonard%203%20AST)", "Gasol 3' Cutting Dunk Shot (11 PTS) (Leonard 3 AST)")</f>
        <v>Gasol 3' Cutting Dunk Shot (11 PTS) (Leonard 3 AST)</v>
      </c>
      <c r="L2646" s="2" t="str">
        <f>HYPERLINK("https://www.nba.com/game/...-vs-...-0041800214/play-by-play?watchFullGame=true", "TOR vs PHI - Q3 01:26.00")</f>
        <v>TOR vs PHI - Q3 01:26.00</v>
      </c>
      <c r="M2646">
        <v>3</v>
      </c>
      <c r="N2646">
        <v>-3</v>
      </c>
      <c r="O2646">
        <v>34</v>
      </c>
      <c r="P2646">
        <v>-3</v>
      </c>
      <c r="Q2646">
        <v>34</v>
      </c>
      <c r="R2646" t="s">
        <v>0</v>
      </c>
      <c r="S2646" t="s">
        <v>0</v>
      </c>
      <c r="T2646" t="s">
        <v>0</v>
      </c>
    </row>
    <row r="2647" spans="1:20" x14ac:dyDescent="0.25">
      <c r="A2647">
        <v>41800302</v>
      </c>
      <c r="B2647" t="s">
        <v>4</v>
      </c>
      <c r="C2647" t="s">
        <v>5</v>
      </c>
      <c r="D2647">
        <v>11</v>
      </c>
      <c r="E2647">
        <v>19</v>
      </c>
      <c r="F2647">
        <v>8</v>
      </c>
      <c r="G2647">
        <v>1</v>
      </c>
      <c r="H2647" s="1">
        <v>3.1944444444444446E-3</v>
      </c>
      <c r="I2647" t="s">
        <v>2</v>
      </c>
      <c r="J2647" t="s">
        <v>1</v>
      </c>
      <c r="K2647" s="2" t="str">
        <f>HYPERLINK("https://www.nba.com/stats/events?CFID=&amp;CFPARAMS=&amp;GameEventID=88&amp;GameID=0041800302&amp;Season=2018-19&amp;flag=1&amp;title=Siakam%202'%20Layup%20(4%20PTS)%20(Leonard%201%20AST)", "Siakam 2' Layup (4 PTS) (Leonard 1 AST)")</f>
        <v>Siakam 2' Layup (4 PTS) (Leonard 1 AST)</v>
      </c>
      <c r="L2647" s="2" t="str">
        <f>HYPERLINK("https://www.nba.com/game/...-vs-...-0041800302/play-by-play?watchFullGame=true", "TOR vs MIL - Q1 04:36.00")</f>
        <v>TOR vs MIL - Q1 04:36.00</v>
      </c>
      <c r="M2647">
        <v>2</v>
      </c>
      <c r="N2647">
        <v>14</v>
      </c>
      <c r="O2647">
        <v>11</v>
      </c>
      <c r="P2647">
        <v>14</v>
      </c>
      <c r="Q2647">
        <v>11</v>
      </c>
      <c r="R2647" t="s">
        <v>0</v>
      </c>
      <c r="S2647" t="s">
        <v>0</v>
      </c>
      <c r="T2647" t="s">
        <v>0</v>
      </c>
    </row>
    <row r="2648" spans="1:20" x14ac:dyDescent="0.25">
      <c r="A2648">
        <v>41800401</v>
      </c>
      <c r="B2648" t="s">
        <v>4</v>
      </c>
      <c r="C2648" t="s">
        <v>3</v>
      </c>
      <c r="D2648">
        <v>79</v>
      </c>
      <c r="E2648">
        <v>68</v>
      </c>
      <c r="F2648">
        <v>11</v>
      </c>
      <c r="G2648">
        <v>3</v>
      </c>
      <c r="H2648" s="1">
        <v>2.9976851851851853E-3</v>
      </c>
      <c r="I2648" t="s">
        <v>2</v>
      </c>
      <c r="J2648" t="s">
        <v>1</v>
      </c>
      <c r="K2648" s="2" t="str">
        <f>HYPERLINK("https://www.nba.com/stats/events?CFID=&amp;CFPARAMS=&amp;GameEventID=435&amp;GameID=0041800401&amp;Season=2018-19&amp;flag=1&amp;title=Siakam%202'%20Running%20Jump%20Shot%20(26%20PTS)%20(Leonard%202%20AST)", "Siakam 2' Running Jump Shot (26 PTS) (Leonard 2 AST)")</f>
        <v>Siakam 2' Running Jump Shot (26 PTS) (Leonard 2 AST)</v>
      </c>
      <c r="L2648" s="2" t="str">
        <f>HYPERLINK("https://www.nba.com/game/...-vs-...-0041800401/play-by-play?watchFullGame=true", "TOR vs GSW - Q3 04:19.00")</f>
        <v>TOR vs GSW - Q3 04:19.00</v>
      </c>
      <c r="M2648">
        <v>2</v>
      </c>
      <c r="N2648">
        <v>19</v>
      </c>
      <c r="O2648">
        <v>15</v>
      </c>
      <c r="P2648">
        <v>19</v>
      </c>
      <c r="Q2648">
        <v>15</v>
      </c>
      <c r="R2648" t="s">
        <v>0</v>
      </c>
      <c r="S2648" t="s">
        <v>0</v>
      </c>
      <c r="T2648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2025-03-17T16:16:29Z</dcterms:created>
  <dcterms:modified xsi:type="dcterms:W3CDTF">2025-03-17T17:32:09Z</dcterms:modified>
</cp:coreProperties>
</file>